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d.docs.live.net/4f2f531139b8d412/PRMIA/L^0D/Designations/PRM/2024_Launch/SelfAssessmentTool/"/>
    </mc:Choice>
  </mc:AlternateContent>
  <xr:revisionPtr revIDLastSave="15" documentId="8_{305AB4EE-DF4E-4453-8E30-4038C638F074}" xr6:coauthVersionLast="47" xr6:coauthVersionMax="47" xr10:uidLastSave="{736A3F23-2D94-46F0-A644-288A11BD2E97}"/>
  <bookViews>
    <workbookView xWindow="-120" yWindow="-120" windowWidth="29040" windowHeight="15840" tabRatio="746" xr2:uid="{96F8FE5B-C5A8-463E-8895-846A51A05DFC}"/>
  </bookViews>
  <sheets>
    <sheet name="Instructions" sheetId="15" r:id="rId1"/>
    <sheet name="I. Finance Theory" sheetId="1" r:id="rId2"/>
    <sheet name="II. Financial Instruments" sheetId="4" r:id="rId3"/>
    <sheet name="III. Financial Markets" sheetId="6" r:id="rId4"/>
    <sheet name="IV. Mathematical Foundations" sheetId="7" r:id="rId5"/>
    <sheet name="V. Risk Mgmt Frameworks-Op Risk" sheetId="8" r:id="rId6"/>
    <sheet name="VI. Credit and Counterparty" sheetId="9" r:id="rId7"/>
    <sheet name="VII. Market, Asset Liab Mgmt, F" sheetId="10" r:id="rId8"/>
    <sheet name="VIII. PRMIA Case Studies" sheetId="11" r:id="rId9"/>
    <sheet name="IX. PRMIA Standards" sheetId="12" r:id="rId10"/>
    <sheet name="My Self Assessment Report" sheetId="2" r:id="rId11"/>
    <sheet name="My Study Plan" sheetId="13" r:id="rId12"/>
    <sheet name="My Path to the PRM Designation" sheetId="14" r:id="rId13"/>
    <sheet name="Inputs" sheetId="3" state="hidden" r:id="rId14"/>
  </sheets>
  <definedNames>
    <definedName name="_xlnm.Print_Area" localSheetId="1">'I. Finance Theory'!$A$1:$C$7</definedName>
    <definedName name="_xlnm.Print_Area" localSheetId="2">'II. Financial Instruments'!$A$1:$C$8</definedName>
    <definedName name="_xlnm.Print_Area" localSheetId="3">'III. Financial Markets'!$A$1:$C$10</definedName>
    <definedName name="_xlnm.Print_Area" localSheetId="0">Instructions!$A$1:$J$23</definedName>
    <definedName name="_xlnm.Print_Area" localSheetId="4">'IV. Mathematical Foundations'!$A$1:$C$9</definedName>
    <definedName name="_xlnm.Print_Area" localSheetId="9">'IX. PRMIA Standards'!$A$1:$C$4</definedName>
    <definedName name="_xlnm.Print_Area" localSheetId="12">'My Path to the PRM Designation'!$A$2:$D$11</definedName>
    <definedName name="_xlnm.Print_Area" localSheetId="10">'My Self Assessment Report'!$A$2:$I$98</definedName>
    <definedName name="_xlnm.Print_Area" localSheetId="11">'My Study Plan'!$A$2:$D$40</definedName>
    <definedName name="_xlnm.Print_Area" localSheetId="5">'V. Risk Mgmt Frameworks-Op Risk'!$A$1:$C$7</definedName>
    <definedName name="_xlnm.Print_Area" localSheetId="6">'VI. Credit and Counterparty'!$A$1:$C$8</definedName>
    <definedName name="_xlnm.Print_Area" localSheetId="7">'VII. Market, Asset Liab Mgmt, F'!$A$1:$C$9</definedName>
    <definedName name="_xlnm.Print_Area" localSheetId="8">'VIII. PRMIA Case Studies'!$A$1:$C$18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0" i="2" l="1"/>
  <c r="D59" i="2"/>
  <c r="D62" i="2"/>
  <c r="D58" i="2"/>
  <c r="D57" i="2"/>
  <c r="D52" i="2"/>
  <c r="D51" i="2"/>
  <c r="D50" i="2"/>
  <c r="D49" i="2"/>
  <c r="D48" i="2"/>
  <c r="D46" i="2"/>
  <c r="D47" i="2"/>
  <c r="D45" i="2"/>
  <c r="D40" i="2"/>
  <c r="D39" i="2"/>
  <c r="D38" i="2"/>
  <c r="D37" i="2"/>
  <c r="D36" i="2"/>
  <c r="D35" i="2"/>
  <c r="D34" i="2"/>
  <c r="D33" i="2"/>
  <c r="D32" i="2"/>
  <c r="D27" i="2"/>
  <c r="D26" i="2"/>
  <c r="D25" i="2"/>
  <c r="D24" i="2"/>
  <c r="D23" i="2"/>
  <c r="D22" i="2"/>
  <c r="D21" i="2"/>
  <c r="D16" i="2"/>
  <c r="D15" i="2"/>
  <c r="D14" i="2"/>
  <c r="D13" i="2"/>
  <c r="D12" i="2"/>
  <c r="D11" i="2"/>
  <c r="E12" i="11"/>
  <c r="D12" i="11"/>
  <c r="E11" i="11"/>
  <c r="D11" i="11"/>
  <c r="E10" i="11"/>
  <c r="D10" i="11"/>
  <c r="E9" i="11"/>
  <c r="D9" i="11"/>
  <c r="E8" i="11"/>
  <c r="D8" i="11"/>
  <c r="E7" i="11"/>
  <c r="D7" i="11"/>
  <c r="E6" i="11"/>
  <c r="D6" i="11"/>
  <c r="E5" i="11"/>
  <c r="D5" i="11"/>
  <c r="D4" i="11"/>
  <c r="G84" i="2"/>
  <c r="F84" i="2"/>
  <c r="H84" i="2" s="1"/>
  <c r="I84" i="2" s="1"/>
  <c r="D84" i="2"/>
  <c r="A85" i="2"/>
  <c r="H60" i="2"/>
  <c r="I60" i="2" s="1"/>
  <c r="G82" i="2"/>
  <c r="F82" i="2"/>
  <c r="H82" i="2" s="1"/>
  <c r="I82" i="2" s="1"/>
  <c r="D82" i="2"/>
  <c r="G81" i="2"/>
  <c r="F81" i="2"/>
  <c r="H81" i="2" s="1"/>
  <c r="I81" i="2" s="1"/>
  <c r="D81" i="2"/>
  <c r="A84" i="2"/>
  <c r="A83" i="2"/>
  <c r="A82" i="2"/>
  <c r="A81" i="2"/>
  <c r="A80" i="2"/>
  <c r="A79" i="2"/>
  <c r="A78" i="2"/>
  <c r="A73" i="2"/>
  <c r="A72" i="2"/>
  <c r="A71" i="2"/>
  <c r="A70" i="2"/>
  <c r="A69" i="2"/>
  <c r="A68" i="2"/>
  <c r="A67" i="2"/>
  <c r="G60" i="2"/>
  <c r="F60" i="2"/>
  <c r="A62" i="2"/>
  <c r="A61" i="2"/>
  <c r="A60" i="2"/>
  <c r="A59" i="2"/>
  <c r="A58" i="2"/>
  <c r="A57" i="2"/>
  <c r="A52" i="2"/>
  <c r="A51" i="2"/>
  <c r="A50" i="2"/>
  <c r="A49" i="2"/>
  <c r="A48" i="2"/>
  <c r="A47" i="2"/>
  <c r="A46" i="2"/>
  <c r="A45" i="2"/>
  <c r="A40" i="2"/>
  <c r="A39" i="2"/>
  <c r="A38" i="2"/>
  <c r="A37" i="2"/>
  <c r="A36" i="2"/>
  <c r="A35" i="2"/>
  <c r="A34" i="2"/>
  <c r="A33" i="2"/>
  <c r="A32" i="2"/>
  <c r="G25" i="2"/>
  <c r="F25" i="2"/>
  <c r="A27" i="2"/>
  <c r="A26" i="2"/>
  <c r="A25" i="2"/>
  <c r="A24" i="2"/>
  <c r="A23" i="2"/>
  <c r="A22" i="2"/>
  <c r="A21" i="2"/>
  <c r="A16" i="2"/>
  <c r="A15" i="2"/>
  <c r="A14" i="2"/>
  <c r="A13" i="2"/>
  <c r="A12" i="2"/>
  <c r="A11" i="2"/>
  <c r="D13" i="11"/>
  <c r="E13" i="11"/>
  <c r="D14" i="11"/>
  <c r="E14" i="11"/>
  <c r="D15" i="11"/>
  <c r="E15" i="11"/>
  <c r="D16" i="11"/>
  <c r="E16" i="11"/>
  <c r="D17" i="11"/>
  <c r="E17" i="11"/>
  <c r="D18" i="11"/>
  <c r="E18" i="11"/>
  <c r="E4" i="11"/>
  <c r="E60" i="2" l="1"/>
  <c r="D3" i="11"/>
  <c r="F91" i="2" s="1"/>
  <c r="E84" i="2"/>
  <c r="E82" i="2"/>
  <c r="E81" i="2"/>
  <c r="H25" i="2"/>
  <c r="I25" i="2" s="1"/>
  <c r="E25" i="2" s="1"/>
  <c r="E3" i="11"/>
  <c r="G91" i="2" s="1"/>
  <c r="D97" i="2"/>
  <c r="D90" i="2"/>
  <c r="D85" i="2"/>
  <c r="D83" i="2"/>
  <c r="D80" i="2"/>
  <c r="D79" i="2"/>
  <c r="D78" i="2"/>
  <c r="D71" i="2"/>
  <c r="D69" i="2"/>
  <c r="D68" i="2"/>
  <c r="D67" i="2"/>
  <c r="B21" i="13" l="1"/>
  <c r="E25" i="13" l="1"/>
  <c r="E24" i="13"/>
  <c r="B14" i="13"/>
  <c r="B13" i="13"/>
  <c r="B12" i="13"/>
  <c r="B11" i="13"/>
  <c r="B10" i="13"/>
  <c r="B9" i="13"/>
  <c r="B8" i="13"/>
  <c r="B7" i="13"/>
  <c r="B6" i="13"/>
  <c r="F97" i="2"/>
  <c r="G97" i="2"/>
  <c r="F98" i="2"/>
  <c r="G98" i="2"/>
  <c r="G96" i="2"/>
  <c r="F96" i="2"/>
  <c r="G90" i="2"/>
  <c r="F90" i="2"/>
  <c r="F88" i="2" s="1"/>
  <c r="F79" i="2"/>
  <c r="G79" i="2"/>
  <c r="F80" i="2"/>
  <c r="G80" i="2"/>
  <c r="F83" i="2"/>
  <c r="G83" i="2"/>
  <c r="F85" i="2"/>
  <c r="G85" i="2"/>
  <c r="G78" i="2"/>
  <c r="F78" i="2"/>
  <c r="F68" i="2"/>
  <c r="G68" i="2"/>
  <c r="F69" i="2"/>
  <c r="G69" i="2"/>
  <c r="F70" i="2"/>
  <c r="G70" i="2"/>
  <c r="F71" i="2"/>
  <c r="G71" i="2"/>
  <c r="F72" i="2"/>
  <c r="G72" i="2"/>
  <c r="F73" i="2"/>
  <c r="G73" i="2"/>
  <c r="G67" i="2"/>
  <c r="F67" i="2"/>
  <c r="F58" i="2"/>
  <c r="G58" i="2"/>
  <c r="F59" i="2"/>
  <c r="G59" i="2"/>
  <c r="F61" i="2"/>
  <c r="G61" i="2"/>
  <c r="F62" i="2"/>
  <c r="G62" i="2"/>
  <c r="G57" i="2"/>
  <c r="F57" i="2"/>
  <c r="F46" i="2"/>
  <c r="G46" i="2"/>
  <c r="F47" i="2"/>
  <c r="G47" i="2"/>
  <c r="F48" i="2"/>
  <c r="G48" i="2"/>
  <c r="F49" i="2"/>
  <c r="G49" i="2"/>
  <c r="F50" i="2"/>
  <c r="G50" i="2"/>
  <c r="F51" i="2"/>
  <c r="G51" i="2"/>
  <c r="F52" i="2"/>
  <c r="G52" i="2"/>
  <c r="G45" i="2"/>
  <c r="F45" i="2"/>
  <c r="A24" i="13" l="1"/>
  <c r="E26" i="13"/>
  <c r="A26" i="13" s="1"/>
  <c r="H97" i="2"/>
  <c r="I97" i="2" s="1"/>
  <c r="H91" i="2"/>
  <c r="I91" i="2" s="1"/>
  <c r="H83" i="2"/>
  <c r="I83" i="2" s="1"/>
  <c r="H68" i="2"/>
  <c r="H79" i="2"/>
  <c r="H98" i="2"/>
  <c r="G94" i="2"/>
  <c r="H94" i="2" s="1"/>
  <c r="H96" i="2"/>
  <c r="H51" i="2"/>
  <c r="H61" i="2"/>
  <c r="H58" i="2"/>
  <c r="H72" i="2"/>
  <c r="H70" i="2"/>
  <c r="H85" i="2"/>
  <c r="H80" i="2"/>
  <c r="F94" i="2"/>
  <c r="H93" i="2" s="1"/>
  <c r="G88" i="2"/>
  <c r="H88" i="2" s="1"/>
  <c r="H90" i="2"/>
  <c r="H87" i="2"/>
  <c r="G76" i="2"/>
  <c r="H76" i="2" s="1"/>
  <c r="H78" i="2"/>
  <c r="H59" i="2"/>
  <c r="F76" i="2"/>
  <c r="H75" i="2" s="1"/>
  <c r="G65" i="2"/>
  <c r="H65" i="2" s="1"/>
  <c r="H49" i="2"/>
  <c r="H47" i="2"/>
  <c r="H62" i="2"/>
  <c r="H67" i="2"/>
  <c r="H69" i="2"/>
  <c r="H71" i="2"/>
  <c r="H73" i="2"/>
  <c r="F65" i="2"/>
  <c r="H64" i="2" s="1"/>
  <c r="G55" i="2"/>
  <c r="H55" i="2" s="1"/>
  <c r="H57" i="2"/>
  <c r="F55" i="2"/>
  <c r="H54" i="2" s="1"/>
  <c r="G43" i="2"/>
  <c r="H43" i="2" s="1"/>
  <c r="H45" i="2"/>
  <c r="H46" i="2"/>
  <c r="H48" i="2"/>
  <c r="H50" i="2"/>
  <c r="H52" i="2"/>
  <c r="F43" i="2"/>
  <c r="H42" i="2" s="1"/>
  <c r="F33" i="2"/>
  <c r="G33" i="2"/>
  <c r="F34" i="2"/>
  <c r="G34" i="2"/>
  <c r="F35" i="2"/>
  <c r="G35" i="2"/>
  <c r="F36" i="2"/>
  <c r="G36" i="2"/>
  <c r="F37" i="2"/>
  <c r="G37" i="2"/>
  <c r="F38" i="2"/>
  <c r="G38" i="2"/>
  <c r="F39" i="2"/>
  <c r="G39" i="2"/>
  <c r="F40" i="2"/>
  <c r="G40" i="2"/>
  <c r="G32" i="2"/>
  <c r="F32" i="2"/>
  <c r="G22" i="2"/>
  <c r="G23" i="2"/>
  <c r="G24" i="2"/>
  <c r="G26" i="2"/>
  <c r="G27" i="2"/>
  <c r="G21" i="2"/>
  <c r="F21" i="2"/>
  <c r="F22" i="2"/>
  <c r="F23" i="2"/>
  <c r="F24" i="2"/>
  <c r="F26" i="2"/>
  <c r="F27" i="2"/>
  <c r="G12" i="2"/>
  <c r="G13" i="2"/>
  <c r="G14" i="2"/>
  <c r="G15" i="2"/>
  <c r="G16" i="2"/>
  <c r="G11" i="2"/>
  <c r="F12" i="2"/>
  <c r="F13" i="2"/>
  <c r="F14" i="2"/>
  <c r="F15" i="2"/>
  <c r="F16" i="2"/>
  <c r="F11" i="2"/>
  <c r="H23" i="2" l="1"/>
  <c r="I23" i="2" s="1"/>
  <c r="E23" i="2" s="1"/>
  <c r="H11" i="2"/>
  <c r="F9" i="2"/>
  <c r="H8" i="2" s="1"/>
  <c r="G9" i="2"/>
  <c r="H9" i="2" s="1"/>
  <c r="H24" i="2"/>
  <c r="I24" i="2" s="1"/>
  <c r="E24" i="2" s="1"/>
  <c r="H27" i="2"/>
  <c r="I27" i="2" s="1"/>
  <c r="E27" i="2" s="1"/>
  <c r="E97" i="2"/>
  <c r="H22" i="2"/>
  <c r="I22" i="2" s="1"/>
  <c r="E22" i="2" s="1"/>
  <c r="E91" i="2"/>
  <c r="E83" i="2"/>
  <c r="H26" i="2"/>
  <c r="I26" i="2" s="1"/>
  <c r="E26" i="2" s="1"/>
  <c r="I52" i="2"/>
  <c r="E52" i="2" s="1"/>
  <c r="I45" i="2"/>
  <c r="E45" i="2" s="1"/>
  <c r="I69" i="2"/>
  <c r="E69" i="2" s="1"/>
  <c r="I78" i="2"/>
  <c r="E78" i="2" s="1"/>
  <c r="I61" i="2"/>
  <c r="E61" i="2" s="1"/>
  <c r="I98" i="2"/>
  <c r="E98" i="2" s="1"/>
  <c r="I50" i="2"/>
  <c r="E50" i="2" s="1"/>
  <c r="I67" i="2"/>
  <c r="E67" i="2" s="1"/>
  <c r="I70" i="2"/>
  <c r="E70" i="2" s="1"/>
  <c r="I51" i="2"/>
  <c r="E51" i="2" s="1"/>
  <c r="I79" i="2"/>
  <c r="E79" i="2" s="1"/>
  <c r="I48" i="2"/>
  <c r="E48" i="2" s="1"/>
  <c r="I73" i="2"/>
  <c r="E73" i="2" s="1"/>
  <c r="I62" i="2"/>
  <c r="E62" i="2" s="1"/>
  <c r="I80" i="2"/>
  <c r="E80" i="2" s="1"/>
  <c r="I72" i="2"/>
  <c r="E72" i="2" s="1"/>
  <c r="I96" i="2"/>
  <c r="E96" i="2" s="1"/>
  <c r="I68" i="2"/>
  <c r="E68" i="2" s="1"/>
  <c r="I49" i="2"/>
  <c r="E49" i="2" s="1"/>
  <c r="I46" i="2"/>
  <c r="E46" i="2" s="1"/>
  <c r="I57" i="2"/>
  <c r="E57" i="2" s="1"/>
  <c r="I71" i="2"/>
  <c r="E71" i="2" s="1"/>
  <c r="I47" i="2"/>
  <c r="E47" i="2" s="1"/>
  <c r="I59" i="2"/>
  <c r="E59" i="2" s="1"/>
  <c r="I90" i="2"/>
  <c r="E90" i="2" s="1"/>
  <c r="I85" i="2"/>
  <c r="E85" i="2" s="1"/>
  <c r="I58" i="2"/>
  <c r="E58" i="2" s="1"/>
  <c r="H39" i="2"/>
  <c r="H40" i="2"/>
  <c r="H38" i="2"/>
  <c r="G19" i="2"/>
  <c r="H19" i="2" s="1"/>
  <c r="H33" i="2"/>
  <c r="H13" i="2"/>
  <c r="H34" i="2"/>
  <c r="F30" i="2"/>
  <c r="H29" i="2" s="1"/>
  <c r="F19" i="2"/>
  <c r="H18" i="2" s="1"/>
  <c r="H37" i="2"/>
  <c r="H35" i="2"/>
  <c r="H15" i="2"/>
  <c r="H36" i="2"/>
  <c r="H32" i="2"/>
  <c r="H16" i="2"/>
  <c r="H12" i="2"/>
  <c r="H14" i="2"/>
  <c r="G30" i="2"/>
  <c r="H30" i="2" s="1"/>
  <c r="H21" i="2"/>
  <c r="E13" i="2" l="1"/>
  <c r="I11" i="2"/>
  <c r="E11" i="2" s="1"/>
  <c r="C14" i="13"/>
  <c r="D14" i="13" s="1"/>
  <c r="C40" i="13" s="1"/>
  <c r="C9" i="13"/>
  <c r="D9" i="13" s="1"/>
  <c r="C35" i="13" s="1"/>
  <c r="C11" i="13"/>
  <c r="D11" i="13" s="1"/>
  <c r="C37" i="13" s="1"/>
  <c r="C13" i="13"/>
  <c r="D13" i="13" s="1"/>
  <c r="C39" i="13" s="1"/>
  <c r="C10" i="13"/>
  <c r="D10" i="13" s="1"/>
  <c r="C36" i="13" s="1"/>
  <c r="C12" i="13"/>
  <c r="D12" i="13" s="1"/>
  <c r="C38" i="13" s="1"/>
  <c r="I35" i="2"/>
  <c r="E35" i="2" s="1"/>
  <c r="I32" i="2"/>
  <c r="E32" i="2" s="1"/>
  <c r="I13" i="2"/>
  <c r="I36" i="2"/>
  <c r="E36" i="2" s="1"/>
  <c r="I33" i="2"/>
  <c r="E33" i="2" s="1"/>
  <c r="I40" i="2"/>
  <c r="E40" i="2" s="1"/>
  <c r="I16" i="2"/>
  <c r="E16" i="2" s="1"/>
  <c r="I34" i="2"/>
  <c r="E34" i="2" s="1"/>
  <c r="I14" i="2"/>
  <c r="E14" i="2" s="1"/>
  <c r="I37" i="2"/>
  <c r="E37" i="2" s="1"/>
  <c r="I38" i="2"/>
  <c r="E38" i="2" s="1"/>
  <c r="I21" i="2"/>
  <c r="E21" i="2" s="1"/>
  <c r="C7" i="13" s="1"/>
  <c r="D7" i="13" s="1"/>
  <c r="C33" i="13" s="1"/>
  <c r="I12" i="2"/>
  <c r="E12" i="2" s="1"/>
  <c r="I15" i="2"/>
  <c r="E15" i="2" s="1"/>
  <c r="I39" i="2"/>
  <c r="E39" i="2" s="1"/>
  <c r="C8" i="13" l="1"/>
  <c r="D8" i="13" s="1"/>
  <c r="C34" i="13" s="1"/>
  <c r="C6" i="13"/>
  <c r="D6" i="13" s="1"/>
  <c r="E27" i="13" l="1"/>
  <c r="A27" i="13" s="1"/>
  <c r="C32" i="13"/>
  <c r="E6" i="13"/>
  <c r="B32" i="13" s="1"/>
  <c r="E12" i="13"/>
  <c r="B38" i="13" s="1"/>
  <c r="D38" i="13" s="1"/>
  <c r="E11" i="13"/>
  <c r="B37" i="13" s="1"/>
  <c r="D37" i="13" s="1"/>
  <c r="E8" i="13"/>
  <c r="B34" i="13" s="1"/>
  <c r="D34" i="13" s="1"/>
  <c r="E7" i="13"/>
  <c r="B33" i="13" s="1"/>
  <c r="D33" i="13" s="1"/>
  <c r="E14" i="13"/>
  <c r="B40" i="13" s="1"/>
  <c r="D40" i="13" s="1"/>
  <c r="E13" i="13"/>
  <c r="B39" i="13" s="1"/>
  <c r="D39" i="13" s="1"/>
  <c r="E10" i="13"/>
  <c r="B36" i="13" s="1"/>
  <c r="D36" i="13" s="1"/>
  <c r="E9" i="13"/>
  <c r="B35" i="13" s="1"/>
  <c r="D35" i="13" s="1"/>
  <c r="E28" i="13" l="1"/>
  <c r="A28" i="13" s="1"/>
  <c r="D32" i="13"/>
</calcChain>
</file>

<file path=xl/sharedStrings.xml><?xml version="1.0" encoding="utf-8"?>
<sst xmlns="http://schemas.openxmlformats.org/spreadsheetml/2006/main" count="388" uniqueCount="186">
  <si>
    <t>Understand</t>
  </si>
  <si>
    <t>Analyze</t>
  </si>
  <si>
    <t>Apply</t>
  </si>
  <si>
    <t>Never</t>
  </si>
  <si>
    <t>Daily</t>
  </si>
  <si>
    <t>Monthly</t>
  </si>
  <si>
    <t>Weekly</t>
  </si>
  <si>
    <t>Once per year</t>
  </si>
  <si>
    <t>Some experience</t>
  </si>
  <si>
    <t>Extensive experience</t>
  </si>
  <si>
    <t>Little experience</t>
  </si>
  <si>
    <t>Expert</t>
  </si>
  <si>
    <t>Novice</t>
  </si>
  <si>
    <t>How often are you exposed to this topic in your work?</t>
  </si>
  <si>
    <t>How would you describe your experience level with this topic?</t>
  </si>
  <si>
    <t>Freq Value</t>
  </si>
  <si>
    <t>I. Finance Theory</t>
  </si>
  <si>
    <t>Exp Value</t>
  </si>
  <si>
    <t>Reading List</t>
  </si>
  <si>
    <t>Study in depth</t>
  </si>
  <si>
    <t>Study in review</t>
  </si>
  <si>
    <t>II. Financial Instruments</t>
  </si>
  <si>
    <t>III. Financial Markets</t>
  </si>
  <si>
    <t>never use the knowledge or skills from this domain in my role</t>
  </si>
  <si>
    <t>I am not familiar with many of the topics in this domain.</t>
  </si>
  <si>
    <t>I am familiar with some of these topics but am not completely comfortable with the subject matter within this domain.</t>
  </si>
  <si>
    <t>I feel very confident with this topics within this domain.</t>
  </si>
  <si>
    <t>I can mentor others in the subjects within this domain.</t>
  </si>
  <si>
    <t>use the knowledge or skills from this domain in my role about once per year</t>
  </si>
  <si>
    <t>use the knowledge or skills from this domain in my role every month</t>
  </si>
  <si>
    <t>rely daily on my knowledge or skill within this domain</t>
  </si>
  <si>
    <t>rely on my knowledge or skill within this domain at least once a week</t>
  </si>
  <si>
    <t>I am comfortable with these topics although sometimes I need support from resources or peers for certain subjects within this domain.</t>
  </si>
  <si>
    <t>Highest Expected Cognitive Level</t>
  </si>
  <si>
    <t>A. RISK TAXONOMY</t>
  </si>
  <si>
    <t>B. HISTORICAL CASE STUDIES</t>
  </si>
  <si>
    <t>A. GROUP OF THIRTY BEST PRACTICES</t>
  </si>
  <si>
    <t>B. PRMIA GOVERNANCE PRINCIPLES and BYLAWES</t>
  </si>
  <si>
    <t>C. PRMIA CODE OF CONDUCT AND ETHICS</t>
  </si>
  <si>
    <t>IV. Mathematical Foundations</t>
  </si>
  <si>
    <t>V. Risk Mgmt Frameworks and Operational Risk Management</t>
  </si>
  <si>
    <t>VI. Credit Risk and Counterparty Credit Risk</t>
  </si>
  <si>
    <t>VII. Market Risk, Asset Liability Management, and Funds Transfer Pricing</t>
  </si>
  <si>
    <t>VIII. PRMIA Case Studies</t>
  </si>
  <si>
    <t>IX. PRMIA Standards and Governance</t>
  </si>
  <si>
    <t>N pages</t>
  </si>
  <si>
    <t>N pages2</t>
  </si>
  <si>
    <t>Number of pages recommended to study</t>
  </si>
  <si>
    <t>Number of major topics in this Domain</t>
  </si>
  <si>
    <t>*Assumes an adult average reading rate of approximately 2.5 minutes per page. This value only considers reading time, not study time if the topic requires in depth study.</t>
  </si>
  <si>
    <t xml:space="preserve">When do you plan to take your first exam? </t>
  </si>
  <si>
    <t>Select from the drop down</t>
  </si>
  <si>
    <t>Enter a whole number</t>
  </si>
  <si>
    <t xml:space="preserve">When do you plan to start your study? </t>
  </si>
  <si>
    <t>Months 1-3</t>
  </si>
  <si>
    <t>Months 4-6</t>
  </si>
  <si>
    <t>Months 7-9</t>
  </si>
  <si>
    <t>Months 10-12</t>
  </si>
  <si>
    <t>Testing Window Dates</t>
  </si>
  <si>
    <t>Months 13-15</t>
  </si>
  <si>
    <t>Months 16-18</t>
  </si>
  <si>
    <t>Months 19-21</t>
  </si>
  <si>
    <t>Months 22-24</t>
  </si>
  <si>
    <t>See The Essentials of Risk Management, Edition 2, pages 23-43</t>
  </si>
  <si>
    <t>Evaluate</t>
  </si>
  <si>
    <t>Professional Risk Manager (PRM) Self-Assessment Tool</t>
  </si>
  <si>
    <t>To use this tool:</t>
  </si>
  <si>
    <t>PRMIA makes no claims or guarantee of results by the use of this self-assessment tool. Each PRM candidate’s path to certification is unique, and it is the responsibility of each candidate to determine their current level of knowledge and skill as they prepare to take their PRM examinations.</t>
  </si>
  <si>
    <t xml:space="preserve">In each tab that is colored dark blue, navigate to the first open cell in the table, and use the drop down to select your response to the questions posed. </t>
  </si>
  <si>
    <t xml:space="preserve">There are several options for each question, which each have a specific meaning. Each question, its options, and how to interpret that option are shown here: </t>
  </si>
  <si>
    <t>I rely daily on my knowledge or skill within this domain.</t>
  </si>
  <si>
    <t>I rely on my knowledge or skill within this domain at least once a week.</t>
  </si>
  <si>
    <t>I use the knowledge or skills from this domain in my role every month.</t>
  </si>
  <si>
    <t>I use the knowledge or skills from this domain in my role about once per year.</t>
  </si>
  <si>
    <t>I never use the knowledge or skills from this domain in my role.</t>
  </si>
  <si>
    <t>Once options are chosen for each domain tab, navigate to the tab titled "My Self Assessment Report" to view the results of your self-assessment. Instructions on reading that report are provided in that tab.</t>
  </si>
  <si>
    <t>Lastly, the tab titled "My Path to the PRM Designation" contains a replica of the study plan worksheet as described in the PRM Candidate Guidebook.</t>
  </si>
  <si>
    <t xml:space="preserve">Use the reading list and recommendation for study to guide your study plan. The reading lists provided in the "Study in depth" and "Study in review" columns are based on your inputs in the prior tabs of this file. These are based on averages of your stated current level of knowledge and expertise. </t>
  </si>
  <si>
    <t>Preparation Resources</t>
  </si>
  <si>
    <t>Estimated Reading Hours by Domain (in hours)*</t>
  </si>
  <si>
    <r>
      <t xml:space="preserve">Enter as MM/DD/YY (default is </t>
    </r>
    <r>
      <rPr>
        <i/>
        <sz val="11"/>
        <color theme="1"/>
        <rFont val="Calibri"/>
        <family val="2"/>
        <scheme val="minor"/>
      </rPr>
      <t>today</t>
    </r>
    <r>
      <rPr>
        <sz val="11"/>
        <color theme="1"/>
        <rFont val="Calibri"/>
        <family val="2"/>
        <scheme val="minor"/>
      </rPr>
      <t>)</t>
    </r>
  </si>
  <si>
    <r>
      <t xml:space="preserve">How many hours each week can you devote to reading </t>
    </r>
    <r>
      <rPr>
        <b/>
        <sz val="11"/>
        <color theme="1"/>
        <rFont val="Calibri"/>
        <family val="2"/>
        <scheme val="minor"/>
      </rPr>
      <t>and</t>
    </r>
    <r>
      <rPr>
        <sz val="11"/>
        <color theme="1"/>
        <rFont val="Calibri"/>
        <family val="2"/>
        <scheme val="minor"/>
      </rPr>
      <t xml:space="preserve"> studying?</t>
    </r>
  </si>
  <si>
    <t>Number of weeks available to study</t>
  </si>
  <si>
    <t>Number of weeks needed to read (no study)</t>
  </si>
  <si>
    <t>Remaining weeks available to study the readings and other learning activities</t>
  </si>
  <si>
    <t xml:space="preserve">Based on your entries, the number of weeks and months available to you for studying will appear in the rows that follow. </t>
  </si>
  <si>
    <t>This section of your self-assessment provides a sample study plan based on the reading list recommendations from the My Self Assessment Report tab. The first table displays the number of pages recommended to study with an estimated reading time in hours by each domain.</t>
  </si>
  <si>
    <t xml:space="preserve">Complete the following: </t>
  </si>
  <si>
    <t>To draft a sample weekly study plan, enter your values in the blue highlighted cells in this tab. Start by entering the number of hourse available to you for reading and studying. Then, enter the date you intend on beginning your study. In the cell below that, choose from the drop down which testing window you would like to begin testing.</t>
  </si>
  <si>
    <t xml:space="preserve">Study Plan Duration </t>
  </si>
  <si>
    <t>Study Plan Duration - Weekly planning</t>
  </si>
  <si>
    <t>Based on your inputs so far into this self-assessment tool, the following table provides estimates on the number of hours available to study based on your availability entered above, the number of weeks that will be needed for reading, and the number of remaining weeks available for additional study based on your availability. Use this table as a guide for completing your "Path to the PRM" on the next tab.</t>
  </si>
  <si>
    <t>My PRM Self Assessment Report</t>
  </si>
  <si>
    <t>My PRM Study Plan</t>
  </si>
  <si>
    <t>My Path to the PRM Designation</t>
  </si>
  <si>
    <t>Bankers Trust</t>
  </si>
  <si>
    <t>Barings</t>
  </si>
  <si>
    <t>Fannie Mae and Freddie Mac</t>
  </si>
  <si>
    <t>Long Term Capital Management (LTCM)</t>
  </si>
  <si>
    <t>Metallgesellschaft</t>
  </si>
  <si>
    <t>Northern Rock</t>
  </si>
  <si>
    <t>Orange County</t>
  </si>
  <si>
    <t>Washington Mutual (Wamu)</t>
  </si>
  <si>
    <t>IV. Mathematical Foundations of Risk Management Topics</t>
  </si>
  <si>
    <t>III. Financial Markets Topics</t>
  </si>
  <si>
    <t>II. Financial Instruments Topics</t>
  </si>
  <si>
    <t>I. Finance Theory Topics</t>
  </si>
  <si>
    <t>V. Risk Management Frameworks and Operational Risk Topics</t>
  </si>
  <si>
    <t>VI. Credit Risk and Counterparty Credit Risk Topics</t>
  </si>
  <si>
    <t>VII. Market Risk, Asset Liability Management, and Funds Transfer Pricing Topics</t>
  </si>
  <si>
    <t>IX. PRMIA Standards and Governance Topics</t>
  </si>
  <si>
    <t>A. Group of Thirty Best Practices</t>
  </si>
  <si>
    <t>B. PRMIA Governance Principles and Bylaws</t>
  </si>
  <si>
    <t>C. PRMIA Code of Conduct and Ethics</t>
  </si>
  <si>
    <r>
      <t xml:space="preserve">This section of your self-assessment shows the results of your inputs in the dark blue tabs of this file. </t>
    </r>
    <r>
      <rPr>
        <b/>
        <sz val="11"/>
        <color rgb="FFC00000"/>
        <rFont val="Calibri"/>
        <family val="2"/>
        <scheme val="minor"/>
      </rPr>
      <t xml:space="preserve">For any section, if no summary appears in the light grey table cells, return to that tab to complete the selections. </t>
    </r>
  </si>
  <si>
    <r>
      <t xml:space="preserve">PRMIA makes no claims or guarantee of results by the use of this self-assessment tool. Each PRM candidate’s path to certification is unique, and it is the responsibility of each candidate to determine their current level of knowledge and skill as they prepare to take their PRM examinations.
</t>
    </r>
    <r>
      <rPr>
        <b/>
        <sz val="9"/>
        <color theme="1"/>
        <rFont val="Calibri"/>
        <family val="2"/>
        <scheme val="minor"/>
      </rPr>
      <t>For feedback or questions on this tool, email certification@prmia.org</t>
    </r>
  </si>
  <si>
    <t>Have the PRM Syllabus available as a reference while completing the tabs in this self-assessment tool. The Syllabus is located in the PRM Candidate Guidebook, downloadable from www.prmia.org/PRM</t>
  </si>
  <si>
    <r>
      <t xml:space="preserve">Additional information may be entered into the tab titled "My Study Plan" to inform your final plan for study as you prepare to take the PRM Examinations. It is important to note that all metrics in the "My Study Plan" tab are approximates and are provided solely to advise your final plan. </t>
    </r>
    <r>
      <rPr>
        <b/>
        <sz val="11"/>
        <color theme="1"/>
        <rFont val="Calibri"/>
        <family val="2"/>
        <scheme val="minor"/>
      </rPr>
      <t xml:space="preserve">PRMIA makes no guarantees that your actual study time will match these estimates. Use these details for your information only. </t>
    </r>
  </si>
  <si>
    <t xml:space="preserve">VIII. Case Study Practicum Topics </t>
  </si>
  <si>
    <r>
      <t xml:space="preserve">Learn about emerging trends and important risk topics by attending PRMIA Thought Leadership webinars. To view upcoming webinars, sign into your PRMIA member account at www.prmia.org then navigate to 
</t>
    </r>
    <r>
      <rPr>
        <b/>
        <sz val="11"/>
        <color theme="1"/>
        <rFont val="Calibri"/>
        <family val="2"/>
        <scheme val="minor"/>
      </rPr>
      <t>Learning --&gt; Webinars</t>
    </r>
    <r>
      <rPr>
        <sz val="11"/>
        <color theme="1"/>
        <rFont val="Calibri"/>
        <family val="2"/>
        <scheme val="minor"/>
      </rPr>
      <t>.</t>
    </r>
  </si>
  <si>
    <t>Mathematical Foundations of Risk Measurement</t>
  </si>
  <si>
    <t xml:space="preserve">Practices for Credit and Counterparty Credit Risk Management </t>
  </si>
  <si>
    <t>Practices for Market Risk Management</t>
  </si>
  <si>
    <t>A. Risk Theory</t>
  </si>
  <si>
    <t>B. Portfolio Theory and Mathematics</t>
  </si>
  <si>
    <t>C. Asset Allocation</t>
  </si>
  <si>
    <t>D. The CAPM and Multifactor Models</t>
  </si>
  <si>
    <t>E. Capital Structures</t>
  </si>
  <si>
    <t>F. The Term Structure of Interest Rates</t>
  </si>
  <si>
    <t>A. Bonds</t>
  </si>
  <si>
    <t>B. Forward and Futures Contracts</t>
  </si>
  <si>
    <t>C. Swaps</t>
  </si>
  <si>
    <t>D. Options</t>
  </si>
  <si>
    <t>E. Credit Derivatives</t>
  </si>
  <si>
    <t>F. Caps, Floors, and Swaptions</t>
  </si>
  <si>
    <t>G. Virtual Assets</t>
  </si>
  <si>
    <t>A. Participants in and the Structure of Financial Markets</t>
  </si>
  <si>
    <t>B. Bond Markets</t>
  </si>
  <si>
    <t>C. Money Market Securities</t>
  </si>
  <si>
    <t>D. Stock Market</t>
  </si>
  <si>
    <t>E. Foreign Exchange Markets</t>
  </si>
  <si>
    <t>F. Energy Markets</t>
  </si>
  <si>
    <t>G. Commodities Markets</t>
  </si>
  <si>
    <t>H. Futures Markets</t>
  </si>
  <si>
    <t>I. Fintech Markets</t>
  </si>
  <si>
    <t>A. Risk Management and Mathematics</t>
  </si>
  <si>
    <t>B. Algebraic Methods</t>
  </si>
  <si>
    <t>C. Calculus Methods Related to Risk Management</t>
  </si>
  <si>
    <t>D. Basic Statistics Related to Risk Management</t>
  </si>
  <si>
    <t>E. Numerical Methods</t>
  </si>
  <si>
    <t>F. Matrix Algebra</t>
  </si>
  <si>
    <t>G. Probability Theory in Finance</t>
  </si>
  <si>
    <t>H. Regression Analysis in Finance</t>
  </si>
  <si>
    <t>A. Risk Governance</t>
  </si>
  <si>
    <t>B. Risk Management Framework</t>
  </si>
  <si>
    <t>C. Risk Assessment</t>
  </si>
  <si>
    <t>D. Risk Information</t>
  </si>
  <si>
    <t>E. Risk Capital and Operational Resilience</t>
  </si>
  <si>
    <t>F. Compliance Risk Framework</t>
  </si>
  <si>
    <t>A. Classic Credit Life Cycle</t>
  </si>
  <si>
    <t>B. Classic Credit Products</t>
  </si>
  <si>
    <t>C. Classic Credit Risk Methodology</t>
  </si>
  <si>
    <t>D. Counterparty Risk</t>
  </si>
  <si>
    <t>E. Credit Derivatives and Securitization</t>
  </si>
  <si>
    <t>F. Credit Portfolio Management</t>
  </si>
  <si>
    <t>G. Valuation Adjustments (XVA)</t>
  </si>
  <si>
    <t>A. Asset Liability Management</t>
  </si>
  <si>
    <t>B. Liquidity Risk</t>
  </si>
  <si>
    <t>C. Interest Rate Risk</t>
  </si>
  <si>
    <t>D. Market Risk Management and Stress Testing</t>
  </si>
  <si>
    <t>E. Market Risk Monitoring</t>
  </si>
  <si>
    <t>F. Commodities Market Risk Management</t>
  </si>
  <si>
    <t>G. Balance Sheet Management</t>
  </si>
  <si>
    <t>H. Bank Funds Transfer Pricing (FTP)</t>
  </si>
  <si>
    <t>American Insurance Group (AIG)</t>
  </si>
  <si>
    <t>FTX</t>
  </si>
  <si>
    <t>Lehman Brothers</t>
  </si>
  <si>
    <t>National Australia Bank (NAB) - FX Options</t>
  </si>
  <si>
    <t>Silicon Valley Bank</t>
  </si>
  <si>
    <t>Operational Resilience at TSB</t>
  </si>
  <si>
    <t>World Com</t>
  </si>
  <si>
    <t>Foundational Theories and Techniques for Risk Management: Part A</t>
  </si>
  <si>
    <t>Foundational Theories and Techniques for Risk Management: Part B</t>
  </si>
  <si>
    <t>Foundational Theories and Techniques for Risk Management: Part C</t>
  </si>
  <si>
    <t>Enterprise Risk Management Frameworks and Operational Risk Management Practices</t>
  </si>
  <si>
    <t>Visit https://prmia.org/Public/PRM/Case_Studies_and_Standards.aspx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</si>
</sst>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mm/dd/yyyy"/>
    <numFmt numFmtId="166" formatCode="0.0"/>
  </numFmts>
  <fonts count="12"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sz val="11"/>
      <name val="Calibri"/>
      <family val="2"/>
      <scheme val="minor"/>
    </font>
    <font>
      <i/>
      <sz val="11"/>
      <color theme="1"/>
      <name val="Calibri"/>
      <family val="2"/>
      <scheme val="minor"/>
    </font>
    <font>
      <sz val="8"/>
      <color theme="1"/>
      <name val="Calibri"/>
      <family val="2"/>
      <scheme val="minor"/>
    </font>
    <font>
      <b/>
      <sz val="11"/>
      <color rgb="FFC00000"/>
      <name val="Calibri"/>
      <family val="2"/>
      <scheme val="minor"/>
    </font>
    <font>
      <b/>
      <sz val="9"/>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E2E3DA"/>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4" tint="0.59999389629810485"/>
        <bgColor indexed="64"/>
      </patternFill>
    </fill>
    <fill>
      <patternFill patternType="solid">
        <fgColor theme="2"/>
        <bgColor indexed="64"/>
      </patternFill>
    </fill>
  </fills>
  <borders count="44">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medium">
        <color indexed="64"/>
      </left>
      <right style="thin">
        <color theme="4" tint="0.39994506668294322"/>
      </right>
      <top style="thin">
        <color theme="4" tint="0.39994506668294322"/>
      </top>
      <bottom style="thin">
        <color theme="4" tint="0.39994506668294322"/>
      </bottom>
      <diagonal/>
    </border>
    <border>
      <left style="thin">
        <color theme="4" tint="0.39994506668294322"/>
      </left>
      <right style="medium">
        <color indexed="64"/>
      </right>
      <top style="thin">
        <color theme="4" tint="0.39994506668294322"/>
      </top>
      <bottom style="thin">
        <color theme="4" tint="0.39994506668294322"/>
      </bottom>
      <diagonal/>
    </border>
    <border>
      <left style="medium">
        <color indexed="64"/>
      </left>
      <right style="thin">
        <color theme="4" tint="0.39994506668294322"/>
      </right>
      <top style="thin">
        <color theme="4" tint="0.39994506668294322"/>
      </top>
      <bottom style="medium">
        <color indexed="64"/>
      </bottom>
      <diagonal/>
    </border>
    <border>
      <left style="thin">
        <color theme="4" tint="0.39994506668294322"/>
      </left>
      <right style="medium">
        <color indexed="64"/>
      </right>
      <top style="thin">
        <color theme="4" tint="0.39994506668294322"/>
      </top>
      <bottom style="medium">
        <color indexed="64"/>
      </bottom>
      <diagonal/>
    </border>
    <border>
      <left style="thick">
        <color theme="4" tint="-0.24994659260841701"/>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thick">
        <color theme="4" tint="-0.24994659260841701"/>
      </bottom>
      <diagonal/>
    </border>
    <border>
      <left/>
      <right style="thick">
        <color theme="4" tint="-0.24994659260841701"/>
      </right>
      <top/>
      <bottom style="thick">
        <color theme="4" tint="-0.24994659260841701"/>
      </bottom>
      <diagonal/>
    </border>
    <border>
      <left style="thick">
        <color theme="4" tint="-0.24994659260841701"/>
      </left>
      <right/>
      <top/>
      <bottom/>
      <diagonal/>
    </border>
    <border>
      <left/>
      <right style="thick">
        <color theme="4" tint="-0.24994659260841701"/>
      </right>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bottom style="thin">
        <color theme="4" tint="0.39994506668294322"/>
      </bottom>
      <diagonal/>
    </border>
    <border>
      <left style="medium">
        <color indexed="64"/>
      </left>
      <right style="thin">
        <color theme="4" tint="0.39994506668294322"/>
      </right>
      <top/>
      <bottom style="thin">
        <color theme="4" tint="0.39994506668294322"/>
      </bottom>
      <diagonal/>
    </border>
    <border>
      <left style="thin">
        <color theme="4" tint="0.39994506668294322"/>
      </left>
      <right style="medium">
        <color indexed="64"/>
      </right>
      <top/>
      <bottom style="thin">
        <color theme="4" tint="0.39994506668294322"/>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medium">
        <color indexed="64"/>
      </left>
      <right/>
      <top style="thick">
        <color theme="4" tint="-0.24994659260841701"/>
      </top>
      <bottom style="thick">
        <color theme="4" tint="-0.24994659260841701"/>
      </bottom>
      <diagonal/>
    </border>
    <border>
      <left style="thin">
        <color theme="4" tint="0.39994506668294322"/>
      </left>
      <right style="thick">
        <color theme="4" tint="-0.24994659260841701"/>
      </right>
      <top style="thick">
        <color theme="4" tint="-0.24994659260841701"/>
      </top>
      <bottom style="thick">
        <color theme="4" tint="-0.24994659260841701"/>
      </bottom>
      <diagonal/>
    </border>
    <border>
      <left style="thin">
        <color theme="4" tint="0.39994506668294322"/>
      </left>
      <right/>
      <top style="thick">
        <color theme="4" tint="-0.24994659260841701"/>
      </top>
      <bottom style="thick">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tted">
        <color auto="1"/>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2">
    <xf numFmtId="0" fontId="0" fillId="0" borderId="0" xfId="0"/>
    <xf numFmtId="0" fontId="0" fillId="0" borderId="0" xfId="0" applyAlignment="1">
      <alignment vertical="top"/>
    </xf>
    <xf numFmtId="0" fontId="0" fillId="3" borderId="0" xfId="0" applyFill="1"/>
    <xf numFmtId="0" fontId="0" fillId="3" borderId="0" xfId="0" applyFill="1" applyAlignment="1">
      <alignment vertical="top"/>
    </xf>
    <xf numFmtId="0" fontId="0" fillId="3" borderId="18" xfId="0" applyFill="1" applyBorder="1"/>
    <xf numFmtId="0" fontId="0" fillId="3" borderId="19" xfId="0" applyFill="1" applyBorder="1" applyAlignment="1">
      <alignment horizontal="center"/>
    </xf>
    <xf numFmtId="0" fontId="0" fillId="3" borderId="20" xfId="0" applyFill="1" applyBorder="1" applyAlignment="1">
      <alignment horizontal="center"/>
    </xf>
    <xf numFmtId="0" fontId="0" fillId="3" borderId="21" xfId="0" applyFill="1" applyBorder="1" applyAlignment="1">
      <alignment wrapText="1"/>
    </xf>
    <xf numFmtId="0" fontId="0" fillId="2" borderId="17" xfId="0" applyFill="1" applyBorder="1" applyAlignment="1">
      <alignment wrapText="1"/>
    </xf>
    <xf numFmtId="0" fontId="0" fillId="5" borderId="27" xfId="0" applyFill="1" applyBorder="1" applyAlignment="1">
      <alignment horizontal="center"/>
    </xf>
    <xf numFmtId="0" fontId="0" fillId="5" borderId="28" xfId="0" applyFill="1" applyBorder="1" applyAlignment="1">
      <alignment horizontal="center"/>
    </xf>
    <xf numFmtId="0" fontId="0" fillId="5" borderId="29" xfId="0" applyFill="1" applyBorder="1" applyAlignment="1">
      <alignment horizontal="center"/>
    </xf>
    <xf numFmtId="0" fontId="1" fillId="4" borderId="24" xfId="0" applyFont="1" applyFill="1" applyBorder="1" applyAlignment="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32" xfId="0" applyFont="1" applyFill="1" applyBorder="1" applyAlignment="1">
      <alignment horizontal="center"/>
    </xf>
    <xf numFmtId="0" fontId="1" fillId="4" borderId="33" xfId="0" applyFont="1" applyFill="1" applyBorder="1" applyAlignment="1">
      <alignment horizontal="center"/>
    </xf>
    <xf numFmtId="0" fontId="1" fillId="4" borderId="34" xfId="0" applyFont="1" applyFill="1" applyBorder="1" applyAlignment="1">
      <alignment horizontal="center"/>
    </xf>
    <xf numFmtId="0" fontId="0" fillId="0" borderId="30" xfId="0" applyBorder="1" applyAlignment="1">
      <alignment horizontal="left" vertical="top" wrapText="1"/>
    </xf>
    <xf numFmtId="0" fontId="0" fillId="0" borderId="23" xfId="0" applyBorder="1" applyAlignment="1">
      <alignment horizontal="left" vertical="top" wrapText="1"/>
    </xf>
    <xf numFmtId="0" fontId="0" fillId="0" borderId="31" xfId="0" applyBorder="1" applyAlignment="1">
      <alignment horizontal="left" vertical="top" wrapText="1"/>
    </xf>
    <xf numFmtId="0" fontId="0" fillId="6" borderId="0" xfId="0" applyFill="1"/>
    <xf numFmtId="0" fontId="3" fillId="0" borderId="0" xfId="0" applyFont="1"/>
    <xf numFmtId="0" fontId="0" fillId="0" borderId="22" xfId="0" applyBorder="1"/>
    <xf numFmtId="0" fontId="0" fillId="0" borderId="0" xfId="0" applyAlignment="1">
      <alignment horizontal="right"/>
    </xf>
    <xf numFmtId="0" fontId="0" fillId="0" borderId="35" xfId="0" applyBorder="1"/>
    <xf numFmtId="0" fontId="0" fillId="0" borderId="0" xfId="0" applyAlignment="1">
      <alignment horizontal="left" vertical="top" wrapText="1"/>
    </xf>
    <xf numFmtId="0" fontId="0" fillId="3" borderId="18" xfId="0" applyFill="1" applyBorder="1" applyAlignment="1">
      <alignment wrapText="1"/>
    </xf>
    <xf numFmtId="0" fontId="0" fillId="3" borderId="0" xfId="0" applyFill="1" applyAlignment="1">
      <alignment wrapText="1"/>
    </xf>
    <xf numFmtId="0" fontId="0" fillId="3" borderId="0" xfId="0" applyFill="1" applyAlignment="1">
      <alignment vertical="top" wrapText="1"/>
    </xf>
    <xf numFmtId="0" fontId="0" fillId="3" borderId="13" xfId="0" applyFill="1" applyBorder="1" applyAlignment="1">
      <alignment vertical="top" wrapText="1"/>
    </xf>
    <xf numFmtId="0" fontId="0" fillId="3" borderId="1" xfId="0" applyFill="1" applyBorder="1" applyAlignment="1">
      <alignment vertical="top" wrapText="1"/>
    </xf>
    <xf numFmtId="0" fontId="0" fillId="3" borderId="13" xfId="0" applyFill="1" applyBorder="1" applyAlignment="1">
      <alignment horizontal="left" vertical="top" wrapText="1"/>
    </xf>
    <xf numFmtId="0" fontId="0" fillId="3" borderId="1" xfId="0" applyFill="1" applyBorder="1" applyAlignment="1">
      <alignment horizontal="left" vertical="top" wrapText="1"/>
    </xf>
    <xf numFmtId="0" fontId="0" fillId="0" borderId="13" xfId="0" applyBorder="1" applyAlignment="1">
      <alignment vertical="top" wrapText="1"/>
    </xf>
    <xf numFmtId="0" fontId="0" fillId="0" borderId="1" xfId="0" applyBorder="1" applyAlignment="1">
      <alignment vertical="top" wrapText="1"/>
    </xf>
    <xf numFmtId="0" fontId="0" fillId="3" borderId="13" xfId="0" applyFill="1" applyBorder="1" applyAlignment="1">
      <alignment vertical="top"/>
    </xf>
    <xf numFmtId="0" fontId="0" fillId="3" borderId="14" xfId="0" applyFill="1" applyBorder="1" applyAlignment="1">
      <alignment vertical="top"/>
    </xf>
    <xf numFmtId="0" fontId="2" fillId="3" borderId="1" xfId="1" applyFill="1" applyBorder="1" applyAlignment="1">
      <alignment vertical="top" wrapText="1"/>
    </xf>
    <xf numFmtId="0" fontId="0" fillId="3" borderId="1" xfId="0" applyFill="1" applyBorder="1" applyAlignment="1">
      <alignment vertical="top"/>
    </xf>
    <xf numFmtId="0" fontId="0" fillId="3" borderId="2" xfId="0" applyFill="1" applyBorder="1" applyAlignment="1">
      <alignment vertical="top"/>
    </xf>
    <xf numFmtId="0" fontId="0" fillId="3" borderId="15" xfId="0" applyFill="1" applyBorder="1" applyAlignment="1">
      <alignment vertical="top" wrapText="1"/>
    </xf>
    <xf numFmtId="0" fontId="0" fillId="3" borderId="16" xfId="0" applyFill="1" applyBorder="1" applyAlignment="1">
      <alignment vertical="top" wrapText="1"/>
    </xf>
    <xf numFmtId="0" fontId="0" fillId="3" borderId="3" xfId="0" applyFill="1" applyBorder="1" applyAlignment="1">
      <alignment vertical="top" wrapText="1"/>
    </xf>
    <xf numFmtId="0" fontId="0" fillId="3" borderId="4" xfId="0" applyFill="1" applyBorder="1" applyAlignment="1">
      <alignment vertical="top" wrapText="1"/>
    </xf>
    <xf numFmtId="0" fontId="0" fillId="3" borderId="5" xfId="0" applyFill="1" applyBorder="1" applyAlignment="1">
      <alignment vertical="top" wrapText="1"/>
    </xf>
    <xf numFmtId="0" fontId="0" fillId="3" borderId="6" xfId="0" applyFill="1" applyBorder="1" applyAlignment="1">
      <alignment vertical="top" wrapText="1"/>
    </xf>
    <xf numFmtId="0" fontId="0" fillId="0" borderId="0" xfId="0" applyAlignment="1">
      <alignment vertical="top" wrapText="1"/>
    </xf>
    <xf numFmtId="0" fontId="0" fillId="0" borderId="0" xfId="0" applyAlignment="1">
      <alignment horizontal="left" vertical="center" wrapText="1"/>
    </xf>
    <xf numFmtId="0" fontId="0" fillId="0" borderId="22" xfId="0" applyBorder="1" applyAlignment="1">
      <alignment horizontal="center"/>
    </xf>
    <xf numFmtId="164" fontId="0" fillId="0" borderId="22" xfId="0" applyNumberFormat="1" applyBorder="1"/>
    <xf numFmtId="164" fontId="0" fillId="0" borderId="0" xfId="0" applyNumberFormat="1"/>
    <xf numFmtId="0" fontId="0" fillId="3" borderId="22" xfId="0" applyFill="1" applyBorder="1" applyAlignment="1">
      <alignment vertical="top" wrapText="1"/>
    </xf>
    <xf numFmtId="0" fontId="0" fillId="3" borderId="22" xfId="0" applyFill="1" applyBorder="1" applyAlignment="1">
      <alignment vertical="top"/>
    </xf>
    <xf numFmtId="164" fontId="0" fillId="0" borderId="0" xfId="0" applyNumberFormat="1" applyAlignment="1">
      <alignment horizontal="center" vertical="top"/>
    </xf>
    <xf numFmtId="0" fontId="0" fillId="6" borderId="0" xfId="0" applyFill="1" applyAlignment="1">
      <alignment horizontal="left" vertical="top" wrapText="1"/>
    </xf>
    <xf numFmtId="1" fontId="0" fillId="6" borderId="0" xfId="0" applyNumberFormat="1" applyFill="1" applyAlignment="1">
      <alignment horizontal="center" vertical="top"/>
    </xf>
    <xf numFmtId="0" fontId="0" fillId="6" borderId="0" xfId="0" applyFill="1" applyAlignment="1">
      <alignment horizontal="center" vertical="top"/>
    </xf>
    <xf numFmtId="0" fontId="0" fillId="6" borderId="0" xfId="0" applyFill="1" applyAlignment="1">
      <alignment vertical="top"/>
    </xf>
    <xf numFmtId="1" fontId="0" fillId="0" borderId="22" xfId="0" applyNumberFormat="1" applyBorder="1" applyAlignment="1">
      <alignment horizontal="center"/>
    </xf>
    <xf numFmtId="166" fontId="0" fillId="0" borderId="22" xfId="0" applyNumberFormat="1" applyBorder="1" applyAlignment="1">
      <alignment horizontal="center"/>
    </xf>
    <xf numFmtId="0" fontId="6" fillId="7" borderId="22" xfId="0" applyFont="1" applyFill="1" applyBorder="1" applyAlignment="1">
      <alignment horizontal="center" wrapText="1"/>
    </xf>
    <xf numFmtId="0" fontId="0" fillId="7" borderId="22" xfId="0" applyFill="1" applyBorder="1" applyAlignment="1">
      <alignment wrapText="1"/>
    </xf>
    <xf numFmtId="0" fontId="0" fillId="2" borderId="22" xfId="0" applyFill="1" applyBorder="1"/>
    <xf numFmtId="0" fontId="0" fillId="2" borderId="22" xfId="0" applyFill="1" applyBorder="1" applyAlignment="1">
      <alignment wrapText="1"/>
    </xf>
    <xf numFmtId="0" fontId="0" fillId="6" borderId="22" xfId="0" applyFill="1" applyBorder="1" applyAlignment="1">
      <alignment wrapText="1"/>
    </xf>
    <xf numFmtId="0" fontId="0" fillId="6" borderId="22" xfId="0" applyFill="1" applyBorder="1"/>
    <xf numFmtId="0" fontId="4" fillId="0" borderId="0" xfId="0" applyFont="1" applyAlignment="1">
      <alignment vertical="center"/>
    </xf>
    <xf numFmtId="0" fontId="0" fillId="0" borderId="22" xfId="0" applyBorder="1" applyProtection="1">
      <protection locked="0"/>
    </xf>
    <xf numFmtId="0" fontId="0" fillId="6" borderId="38" xfId="0" applyFill="1" applyBorder="1" applyAlignment="1">
      <alignment wrapText="1"/>
    </xf>
    <xf numFmtId="0" fontId="0" fillId="9" borderId="39" xfId="0" applyFill="1" applyBorder="1" applyProtection="1">
      <protection locked="0"/>
    </xf>
    <xf numFmtId="0" fontId="0" fillId="9" borderId="40" xfId="0" applyFill="1" applyBorder="1" applyProtection="1">
      <protection locked="0"/>
    </xf>
    <xf numFmtId="0" fontId="0" fillId="0" borderId="22" xfId="0" applyBorder="1" applyAlignment="1">
      <alignment wrapText="1"/>
    </xf>
    <xf numFmtId="0" fontId="0" fillId="8" borderId="22" xfId="0" applyFill="1" applyBorder="1" applyAlignment="1" applyProtection="1">
      <alignment horizontal="center" vertical="top"/>
      <protection locked="0"/>
    </xf>
    <xf numFmtId="165" fontId="0" fillId="8" borderId="22" xfId="0" applyNumberFormat="1" applyFill="1" applyBorder="1" applyAlignment="1" applyProtection="1">
      <alignment horizontal="center" vertical="top"/>
      <protection locked="0"/>
    </xf>
    <xf numFmtId="164" fontId="0" fillId="8" borderId="22" xfId="0" applyNumberFormat="1" applyFill="1" applyBorder="1" applyAlignment="1" applyProtection="1">
      <alignment horizontal="center" vertical="top"/>
      <protection locked="0"/>
    </xf>
    <xf numFmtId="0" fontId="0" fillId="2" borderId="37" xfId="0" applyFill="1" applyBorder="1" applyAlignment="1">
      <alignment wrapText="1"/>
    </xf>
    <xf numFmtId="0" fontId="1" fillId="9" borderId="37" xfId="0" applyFont="1" applyFill="1" applyBorder="1"/>
    <xf numFmtId="0" fontId="1" fillId="6" borderId="23" xfId="0" applyFont="1" applyFill="1" applyBorder="1"/>
    <xf numFmtId="0" fontId="0" fillId="0" borderId="0" xfId="0" applyAlignment="1">
      <alignment horizontal="left" vertical="top" wrapText="1"/>
    </xf>
    <xf numFmtId="0" fontId="4" fillId="0" borderId="0" xfId="0" applyFont="1" applyAlignment="1">
      <alignment horizontal="center" vertical="center"/>
    </xf>
    <xf numFmtId="0" fontId="6" fillId="0" borderId="0" xfId="0" applyFont="1" applyAlignment="1">
      <alignment horizontal="left" vertical="top" wrapText="1"/>
    </xf>
    <xf numFmtId="0" fontId="0" fillId="7" borderId="9" xfId="0" applyFill="1" applyBorder="1" applyAlignment="1">
      <alignment horizontal="center" vertical="top" wrapText="1"/>
    </xf>
    <xf numFmtId="0" fontId="0" fillId="7" borderId="10" xfId="0" applyFill="1" applyBorder="1" applyAlignment="1">
      <alignment horizontal="center" vertical="top" wrapText="1"/>
    </xf>
    <xf numFmtId="0" fontId="7" fillId="7" borderId="7" xfId="0" applyFont="1" applyFill="1" applyBorder="1" applyAlignment="1">
      <alignment horizontal="center" wrapText="1"/>
    </xf>
    <xf numFmtId="0" fontId="7" fillId="7" borderId="8" xfId="0" applyFont="1" applyFill="1" applyBorder="1" applyAlignment="1">
      <alignment horizontal="center" wrapText="1"/>
    </xf>
    <xf numFmtId="0" fontId="0" fillId="7" borderId="7" xfId="0" applyFill="1" applyBorder="1" applyAlignment="1">
      <alignment horizontal="center" wrapText="1"/>
    </xf>
    <xf numFmtId="0" fontId="0" fillId="7" borderId="8" xfId="0" applyFill="1" applyBorder="1" applyAlignment="1">
      <alignment horizontal="center" wrapText="1"/>
    </xf>
    <xf numFmtId="0" fontId="0" fillId="0" borderId="0" xfId="0" applyAlignment="1">
      <alignment horizontal="left" vertical="center" wrapText="1"/>
    </xf>
    <xf numFmtId="0" fontId="7" fillId="7" borderId="11" xfId="0" applyFont="1" applyFill="1" applyBorder="1" applyAlignment="1">
      <alignment horizontal="center" vertical="top" wrapText="1"/>
    </xf>
    <xf numFmtId="0" fontId="7" fillId="7" borderId="12" xfId="0" applyFont="1" applyFill="1" applyBorder="1" applyAlignment="1">
      <alignment horizontal="center" vertical="top" wrapText="1"/>
    </xf>
    <xf numFmtId="0" fontId="3" fillId="0" borderId="0" xfId="0" applyFont="1" applyAlignment="1">
      <alignment horizontal="center" wrapText="1"/>
    </xf>
    <xf numFmtId="0" fontId="5" fillId="0" borderId="0" xfId="0" applyFont="1" applyAlignment="1">
      <alignment horizontal="left" vertical="top" wrapText="1"/>
    </xf>
    <xf numFmtId="0" fontId="9" fillId="0" borderId="0" xfId="0" applyFont="1" applyAlignment="1">
      <alignment horizontal="left" vertical="top" wrapText="1"/>
    </xf>
    <xf numFmtId="0" fontId="0" fillId="6" borderId="0" xfId="0" applyFill="1" applyAlignment="1">
      <alignment horizontal="left" vertical="top" wrapText="1"/>
    </xf>
    <xf numFmtId="0" fontId="6" fillId="0" borderId="36" xfId="0" applyFont="1" applyBorder="1" applyAlignment="1">
      <alignment horizontal="left" vertical="top" wrapText="1"/>
    </xf>
    <xf numFmtId="0" fontId="1" fillId="5" borderId="24" xfId="0" applyFont="1" applyFill="1" applyBorder="1" applyAlignment="1">
      <alignment horizontal="center"/>
    </xf>
    <xf numFmtId="0" fontId="1" fillId="5" borderId="25" xfId="0" applyFont="1" applyFill="1" applyBorder="1" applyAlignment="1">
      <alignment horizontal="center"/>
    </xf>
    <xf numFmtId="0" fontId="1" fillId="5" borderId="26" xfId="0" applyFont="1" applyFill="1" applyBorder="1" applyAlignment="1">
      <alignment horizontal="center"/>
    </xf>
    <xf numFmtId="0" fontId="1" fillId="5" borderId="41" xfId="0" applyFont="1" applyFill="1" applyBorder="1" applyAlignment="1">
      <alignment horizontal="center"/>
    </xf>
    <xf numFmtId="0" fontId="1" fillId="5" borderId="42" xfId="0" applyFont="1" applyFill="1" applyBorder="1" applyAlignment="1">
      <alignment horizontal="center"/>
    </xf>
    <xf numFmtId="0" fontId="1" fillId="5" borderId="43"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D14900"/>
      <color rgb="FFD9D9D9"/>
      <color rgb="FF00476D"/>
      <color rgb="FF00273C"/>
      <color rgb="FF5D5D5D"/>
      <color rgb="FFE2E3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I. Finance Theory'!A1"/></Relationships>
</file>

<file path=xl/drawings/_rels/drawing10.xml.rels><?xml version="1.0" encoding="UTF-8" standalone="yes"?>
<Relationships xmlns="http://schemas.openxmlformats.org/package/2006/relationships"><Relationship Id="rId1" Type="http://schemas.openxmlformats.org/officeDocument/2006/relationships/hyperlink" Target="#'My Self Assessment Report'!A1"/></Relationships>
</file>

<file path=xl/drawings/_rels/drawing11.xml.rels><?xml version="1.0" encoding="UTF-8" standalone="yes"?>
<Relationships xmlns="http://schemas.openxmlformats.org/package/2006/relationships"><Relationship Id="rId2" Type="http://schemas.openxmlformats.org/officeDocument/2006/relationships/hyperlink" Target="#'My Study Plan'!A1"/><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hyperlink" Target="#'My Path to the PRM Designation'!A1"/></Relationships>
</file>

<file path=xl/drawings/_rels/drawing13.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1" Type="http://schemas.openxmlformats.org/officeDocument/2006/relationships/hyperlink" Target="#'II. Financial Instruments'!A1"/></Relationships>
</file>

<file path=xl/drawings/_rels/drawing3.xml.rels><?xml version="1.0" encoding="UTF-8" standalone="yes"?>
<Relationships xmlns="http://schemas.openxmlformats.org/package/2006/relationships"><Relationship Id="rId1" Type="http://schemas.openxmlformats.org/officeDocument/2006/relationships/hyperlink" Target="#'III. Financial Markets'!A1"/></Relationships>
</file>

<file path=xl/drawings/_rels/drawing4.xml.rels><?xml version="1.0" encoding="UTF-8" standalone="yes"?>
<Relationships xmlns="http://schemas.openxmlformats.org/package/2006/relationships"><Relationship Id="rId1" Type="http://schemas.openxmlformats.org/officeDocument/2006/relationships/hyperlink" Target="#'IV. Mathematical Foundations'!A1"/></Relationships>
</file>

<file path=xl/drawings/_rels/drawing5.xml.rels><?xml version="1.0" encoding="UTF-8" standalone="yes"?>
<Relationships xmlns="http://schemas.openxmlformats.org/package/2006/relationships"><Relationship Id="rId1" Type="http://schemas.openxmlformats.org/officeDocument/2006/relationships/hyperlink" Target="#'V. Risk Mgmt Frameworks-Op Risk'!A1"/></Relationships>
</file>

<file path=xl/drawings/_rels/drawing6.xml.rels><?xml version="1.0" encoding="UTF-8" standalone="yes"?>
<Relationships xmlns="http://schemas.openxmlformats.org/package/2006/relationships"><Relationship Id="rId1" Type="http://schemas.openxmlformats.org/officeDocument/2006/relationships/hyperlink" Target="#'VI. Credit and Counterparty'!A1"/></Relationships>
</file>

<file path=xl/drawings/_rels/drawing7.xml.rels><?xml version="1.0" encoding="UTF-8" standalone="yes"?>
<Relationships xmlns="http://schemas.openxmlformats.org/package/2006/relationships"><Relationship Id="rId1" Type="http://schemas.openxmlformats.org/officeDocument/2006/relationships/hyperlink" Target="#'VII. Market, Asset Liab Mgmt, F'!A1"/></Relationships>
</file>

<file path=xl/drawings/_rels/drawing8.xml.rels><?xml version="1.0" encoding="UTF-8" standalone="yes"?>
<Relationships xmlns="http://schemas.openxmlformats.org/package/2006/relationships"><Relationship Id="rId1" Type="http://schemas.openxmlformats.org/officeDocument/2006/relationships/hyperlink" Target="#'VIII. PRMIA Case Studies'!A1"/></Relationships>
</file>

<file path=xl/drawings/_rels/drawing9.xml.rels><?xml version="1.0" encoding="UTF-8" standalone="yes"?>
<Relationships xmlns="http://schemas.openxmlformats.org/package/2006/relationships"><Relationship Id="rId1" Type="http://schemas.openxmlformats.org/officeDocument/2006/relationships/hyperlink" Target="#'IX. PRMIA Standard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161925</xdr:colOff>
      <xdr:row>23</xdr:row>
      <xdr:rowOff>114300</xdr:rowOff>
    </xdr:from>
    <xdr:to>
      <xdr:col>5</xdr:col>
      <xdr:colOff>190500</xdr:colOff>
      <xdr:row>25</xdr:row>
      <xdr:rowOff>133350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42F093B-F1D3-4729-B794-E0B0BD3F1988}"/>
            </a:ext>
          </a:extLst>
        </xdr:cNvPr>
        <xdr:cNvSpPr/>
      </xdr:nvSpPr>
      <xdr:spPr>
        <a:xfrm>
          <a:off x="1743075" y="8020050"/>
          <a:ext cx="1524000" cy="400050"/>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Click to begin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2371725</xdr:colOff>
      <xdr:row>5</xdr:row>
      <xdr:rowOff>114300</xdr:rowOff>
    </xdr:from>
    <xdr:to>
      <xdr:col>1</xdr:col>
      <xdr:colOff>1666875</xdr:colOff>
      <xdr:row>9</xdr:row>
      <xdr:rowOff>19050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9D0D2B8-1E6D-46C6-8AC2-1E9E1422F97A}"/>
            </a:ext>
          </a:extLst>
        </xdr:cNvPr>
        <xdr:cNvSpPr/>
      </xdr:nvSpPr>
      <xdr:spPr>
        <a:xfrm>
          <a:off x="2371725" y="1828800"/>
          <a:ext cx="1704975" cy="666750"/>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Click to see your results</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460375</xdr:colOff>
      <xdr:row>5</xdr:row>
      <xdr:rowOff>47625</xdr:rowOff>
    </xdr:from>
    <xdr:to>
      <xdr:col>2</xdr:col>
      <xdr:colOff>1249712</xdr:colOff>
      <xdr:row>6</xdr:row>
      <xdr:rowOff>69849</xdr:rowOff>
    </xdr:to>
    <xdr:pic>
      <xdr:nvPicPr>
        <xdr:cNvPr id="6" name="Picture 5">
          <a:extLst>
            <a:ext uri="{FF2B5EF4-FFF2-40B4-BE49-F238E27FC236}">
              <a16:creationId xmlns:a16="http://schemas.microsoft.com/office/drawing/2014/main" id="{CB687D6E-4A00-4C4A-BB8E-1C087C446D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 y="2284236"/>
          <a:ext cx="2870726" cy="1362780"/>
        </a:xfrm>
        <a:prstGeom prst="rect">
          <a:avLst/>
        </a:prstGeom>
      </xdr:spPr>
    </xdr:pic>
    <xdr:clientData/>
  </xdr:twoCellAnchor>
  <xdr:twoCellAnchor>
    <xdr:from>
      <xdr:col>9</xdr:col>
      <xdr:colOff>550333</xdr:colOff>
      <xdr:row>1</xdr:row>
      <xdr:rowOff>444500</xdr:rowOff>
    </xdr:from>
    <xdr:to>
      <xdr:col>12</xdr:col>
      <xdr:colOff>413808</xdr:colOff>
      <xdr:row>4</xdr:row>
      <xdr:rowOff>21167</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61520BB0-31DB-4E94-B307-2E3E7E0B946F}"/>
            </a:ext>
          </a:extLst>
        </xdr:cNvPr>
        <xdr:cNvSpPr/>
      </xdr:nvSpPr>
      <xdr:spPr>
        <a:xfrm>
          <a:off x="8657166" y="762000"/>
          <a:ext cx="1704975" cy="1143000"/>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Click here to view your study plan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373062</xdr:colOff>
      <xdr:row>1</xdr:row>
      <xdr:rowOff>523875</xdr:rowOff>
    </xdr:from>
    <xdr:to>
      <xdr:col>7</xdr:col>
      <xdr:colOff>357188</xdr:colOff>
      <xdr:row>4</xdr:row>
      <xdr:rowOff>206375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14D8745-9A58-4B45-9E5D-36D237F6E797}"/>
            </a:ext>
          </a:extLst>
        </xdr:cNvPr>
        <xdr:cNvSpPr/>
      </xdr:nvSpPr>
      <xdr:spPr>
        <a:xfrm>
          <a:off x="6611937" y="841375"/>
          <a:ext cx="1206501" cy="936625"/>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t>Click here to create your Path</a:t>
          </a:r>
          <a:r>
            <a:rPr lang="en-US" sz="1200" baseline="0"/>
            <a:t> to the PRM</a:t>
          </a:r>
          <a:endParaRPr lang="en-US" sz="12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38100</xdr:colOff>
      <xdr:row>0</xdr:row>
      <xdr:rowOff>266701</xdr:rowOff>
    </xdr:from>
    <xdr:to>
      <xdr:col>8</xdr:col>
      <xdr:colOff>25401</xdr:colOff>
      <xdr:row>2</xdr:row>
      <xdr:rowOff>238126</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75396EB-D7F6-4573-A04B-B93D3434FEB7}"/>
            </a:ext>
          </a:extLst>
        </xdr:cNvPr>
        <xdr:cNvSpPr/>
      </xdr:nvSpPr>
      <xdr:spPr>
        <a:xfrm>
          <a:off x="9448800" y="266701"/>
          <a:ext cx="1206501" cy="533400"/>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200"/>
            <a:t>Click here to start</a:t>
          </a:r>
          <a:r>
            <a:rPr lang="en-US" sz="1200" baseline="0"/>
            <a:t> over</a:t>
          </a:r>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9524</xdr:colOff>
      <xdr:row>7</xdr:row>
      <xdr:rowOff>133350</xdr:rowOff>
    </xdr:from>
    <xdr:to>
      <xdr:col>1</xdr:col>
      <xdr:colOff>1714499</xdr:colOff>
      <xdr:row>9</xdr:row>
      <xdr:rowOff>152400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16C48A44-8149-4C49-B3EA-060737311275}"/>
            </a:ext>
          </a:extLst>
        </xdr:cNvPr>
        <xdr:cNvSpPr/>
      </xdr:nvSpPr>
      <xdr:spPr>
        <a:xfrm>
          <a:off x="2419349" y="2228850"/>
          <a:ext cx="1704975" cy="400050"/>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Click to continue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8</xdr:row>
      <xdr:rowOff>171450</xdr:rowOff>
    </xdr:from>
    <xdr:to>
      <xdr:col>2</xdr:col>
      <xdr:colOff>19050</xdr:colOff>
      <xdr:row>11</xdr:row>
      <xdr:rowOff>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2959795-02CD-4838-A9E7-77C1DBE7E189}"/>
            </a:ext>
          </a:extLst>
        </xdr:cNvPr>
        <xdr:cNvSpPr/>
      </xdr:nvSpPr>
      <xdr:spPr>
        <a:xfrm>
          <a:off x="2438400" y="1885950"/>
          <a:ext cx="1704975" cy="400050"/>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Click to continue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2390775</xdr:colOff>
      <xdr:row>10</xdr:row>
      <xdr:rowOff>133350</xdr:rowOff>
    </xdr:from>
    <xdr:to>
      <xdr:col>1</xdr:col>
      <xdr:colOff>1685925</xdr:colOff>
      <xdr:row>12</xdr:row>
      <xdr:rowOff>152400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82459B50-C6AA-4EE3-9F38-F15498D0FBB1}"/>
            </a:ext>
          </a:extLst>
        </xdr:cNvPr>
        <xdr:cNvSpPr/>
      </xdr:nvSpPr>
      <xdr:spPr>
        <a:xfrm>
          <a:off x="2390775" y="2609850"/>
          <a:ext cx="1704975" cy="400050"/>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Click to continue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2390775</xdr:colOff>
      <xdr:row>9</xdr:row>
      <xdr:rowOff>104775</xdr:rowOff>
    </xdr:from>
    <xdr:to>
      <xdr:col>1</xdr:col>
      <xdr:colOff>1685925</xdr:colOff>
      <xdr:row>11</xdr:row>
      <xdr:rowOff>123825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9B4F9E97-19ED-4237-A137-627994F864D1}"/>
            </a:ext>
          </a:extLst>
        </xdr:cNvPr>
        <xdr:cNvSpPr/>
      </xdr:nvSpPr>
      <xdr:spPr>
        <a:xfrm>
          <a:off x="2390775" y="2581275"/>
          <a:ext cx="1704975" cy="400050"/>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Click to continue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2371725</xdr:colOff>
      <xdr:row>7</xdr:row>
      <xdr:rowOff>171450</xdr:rowOff>
    </xdr:from>
    <xdr:to>
      <xdr:col>1</xdr:col>
      <xdr:colOff>1666875</xdr:colOff>
      <xdr:row>10</xdr:row>
      <xdr:rowOff>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9FF076E7-66CD-42FD-8937-043D2D4F37B6}"/>
            </a:ext>
          </a:extLst>
        </xdr:cNvPr>
        <xdr:cNvSpPr/>
      </xdr:nvSpPr>
      <xdr:spPr>
        <a:xfrm>
          <a:off x="2371725" y="1695450"/>
          <a:ext cx="1704975" cy="400050"/>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Click to continue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2381250</xdr:colOff>
      <xdr:row>8</xdr:row>
      <xdr:rowOff>152400</xdr:rowOff>
    </xdr:from>
    <xdr:to>
      <xdr:col>1</xdr:col>
      <xdr:colOff>1676400</xdr:colOff>
      <xdr:row>10</xdr:row>
      <xdr:rowOff>171450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F99D37D3-C825-4873-ADF3-F4EFBB64D426}"/>
            </a:ext>
          </a:extLst>
        </xdr:cNvPr>
        <xdr:cNvSpPr/>
      </xdr:nvSpPr>
      <xdr:spPr>
        <a:xfrm>
          <a:off x="2381250" y="2628900"/>
          <a:ext cx="1704975" cy="400050"/>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Click to continue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10</xdr:row>
      <xdr:rowOff>57150</xdr:rowOff>
    </xdr:from>
    <xdr:to>
      <xdr:col>1</xdr:col>
      <xdr:colOff>1704975</xdr:colOff>
      <xdr:row>12</xdr:row>
      <xdr:rowOff>76200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8959034-B72F-462E-A97F-1C932913AA5F}"/>
            </a:ext>
          </a:extLst>
        </xdr:cNvPr>
        <xdr:cNvSpPr/>
      </xdr:nvSpPr>
      <xdr:spPr>
        <a:xfrm>
          <a:off x="2409825" y="1771650"/>
          <a:ext cx="1704975" cy="400050"/>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Click to continue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19</xdr:row>
      <xdr:rowOff>66675</xdr:rowOff>
    </xdr:from>
    <xdr:to>
      <xdr:col>2</xdr:col>
      <xdr:colOff>0</xdr:colOff>
      <xdr:row>21</xdr:row>
      <xdr:rowOff>85725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985D0CD-3166-4FAA-A4E0-92C2FE46C145}"/>
            </a:ext>
          </a:extLst>
        </xdr:cNvPr>
        <xdr:cNvSpPr/>
      </xdr:nvSpPr>
      <xdr:spPr>
        <a:xfrm>
          <a:off x="2538942" y="2654300"/>
          <a:ext cx="1789641" cy="389467"/>
        </a:xfrm>
        <a:prstGeom prst="roundRect">
          <a:avLst/>
        </a:prstGeom>
        <a:solidFill>
          <a:srgbClr val="D149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Click to continue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prmia.org/Public/PRM/Case_Studies_and_Standards.aspx" TargetMode="External"/><Relationship Id="rId7" Type="http://schemas.openxmlformats.org/officeDocument/2006/relationships/vmlDrawing" Target="../drawings/vmlDrawing11.vml"/><Relationship Id="rId2" Type="http://schemas.openxmlformats.org/officeDocument/2006/relationships/hyperlink" Target="https://prmia.org/Public/PRM/Case_Studies_and_Standards.aspx" TargetMode="External"/><Relationship Id="rId1" Type="http://schemas.openxmlformats.org/officeDocument/2006/relationships/hyperlink" Target="https://prmia.org/Public/PRM/Case_Studies_and_Standards.aspx"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s://prmia.org/Public/PRM/Case_Studies_and_Standards.aspx"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4163F-1043-4CB3-AD58-F3D984945937}">
  <sheetPr>
    <tabColor rgb="FFD14900"/>
  </sheetPr>
  <dimension ref="A1:J23"/>
  <sheetViews>
    <sheetView showGridLines="0" showRowColHeaders="0" tabSelected="1" topLeftCell="A5" zoomScaleNormal="100" workbookViewId="0">
      <selection activeCell="D10" sqref="D10:J10"/>
    </sheetView>
  </sheetViews>
  <sheetFormatPr defaultRowHeight="15" x14ac:dyDescent="0.25"/>
  <cols>
    <col min="2" max="2" width="14.5703125" customWidth="1"/>
    <col min="3" max="3" width="4.140625" customWidth="1"/>
  </cols>
  <sheetData>
    <row r="1" spans="1:10" ht="24.75" customHeight="1" x14ac:dyDescent="0.25">
      <c r="A1" s="80" t="s">
        <v>65</v>
      </c>
      <c r="B1" s="80"/>
      <c r="C1" s="80"/>
      <c r="D1" s="80"/>
      <c r="E1" s="80"/>
      <c r="F1" s="80"/>
      <c r="G1" s="80"/>
      <c r="H1" s="80"/>
      <c r="I1" s="80"/>
      <c r="J1" s="80"/>
    </row>
    <row r="2" spans="1:10" ht="48" customHeight="1" x14ac:dyDescent="0.25">
      <c r="A2" s="81" t="s">
        <v>115</v>
      </c>
      <c r="B2" s="81"/>
      <c r="C2" s="81"/>
      <c r="D2" s="81"/>
      <c r="E2" s="81"/>
      <c r="F2" s="81"/>
      <c r="G2" s="81"/>
      <c r="H2" s="81"/>
      <c r="I2" s="81"/>
      <c r="J2" s="81"/>
    </row>
    <row r="3" spans="1:10" x14ac:dyDescent="0.25">
      <c r="A3" s="22" t="s">
        <v>66</v>
      </c>
    </row>
    <row r="4" spans="1:10" ht="47.25" customHeight="1" x14ac:dyDescent="0.25">
      <c r="A4" s="79" t="s">
        <v>116</v>
      </c>
      <c r="B4" s="79"/>
      <c r="C4" s="79"/>
      <c r="D4" s="79"/>
      <c r="E4" s="79"/>
      <c r="F4" s="79"/>
      <c r="G4" s="79"/>
      <c r="H4" s="79"/>
      <c r="I4" s="79"/>
      <c r="J4" s="79"/>
    </row>
    <row r="5" spans="1:10" ht="30.75" customHeight="1" x14ac:dyDescent="0.25">
      <c r="A5" s="79" t="s">
        <v>68</v>
      </c>
      <c r="B5" s="79"/>
      <c r="C5" s="79"/>
      <c r="D5" s="79"/>
      <c r="E5" s="79"/>
      <c r="F5" s="79"/>
      <c r="G5" s="79"/>
      <c r="H5" s="79"/>
      <c r="I5" s="79"/>
      <c r="J5" s="79"/>
    </row>
    <row r="6" spans="1:10" ht="31.5" customHeight="1" x14ac:dyDescent="0.25">
      <c r="A6" s="79" t="s">
        <v>69</v>
      </c>
      <c r="B6" s="79"/>
      <c r="C6" s="79"/>
      <c r="D6" s="79"/>
      <c r="E6" s="79"/>
      <c r="F6" s="79"/>
      <c r="G6" s="79"/>
      <c r="H6" s="79"/>
      <c r="I6" s="79"/>
      <c r="J6" s="79"/>
    </row>
    <row r="7" spans="1:10" x14ac:dyDescent="0.25">
      <c r="B7" s="22" t="s">
        <v>13</v>
      </c>
    </row>
    <row r="8" spans="1:10" x14ac:dyDescent="0.25">
      <c r="B8" s="24" t="s">
        <v>4</v>
      </c>
      <c r="C8" s="25"/>
      <c r="D8" s="79" t="s">
        <v>70</v>
      </c>
      <c r="E8" s="79"/>
      <c r="F8" s="79"/>
      <c r="G8" s="79"/>
      <c r="H8" s="79"/>
      <c r="I8" s="79"/>
      <c r="J8" s="79"/>
    </row>
    <row r="9" spans="1:10" ht="30" customHeight="1" x14ac:dyDescent="0.25">
      <c r="B9" s="24" t="s">
        <v>6</v>
      </c>
      <c r="C9" s="25"/>
      <c r="D9" s="79" t="s">
        <v>71</v>
      </c>
      <c r="E9" s="79"/>
      <c r="F9" s="79"/>
      <c r="G9" s="79"/>
      <c r="H9" s="79"/>
      <c r="I9" s="79"/>
      <c r="J9" s="79"/>
    </row>
    <row r="10" spans="1:10" ht="30" customHeight="1" x14ac:dyDescent="0.25">
      <c r="B10" s="24" t="s">
        <v>5</v>
      </c>
      <c r="C10" s="25"/>
      <c r="D10" s="79" t="s">
        <v>72</v>
      </c>
      <c r="E10" s="79"/>
      <c r="F10" s="79"/>
      <c r="G10" s="79"/>
      <c r="H10" s="79"/>
      <c r="I10" s="79"/>
      <c r="J10" s="79"/>
    </row>
    <row r="11" spans="1:10" ht="30" customHeight="1" x14ac:dyDescent="0.25">
      <c r="B11" s="24" t="s">
        <v>7</v>
      </c>
      <c r="C11" s="25"/>
      <c r="D11" s="79" t="s">
        <v>73</v>
      </c>
      <c r="E11" s="79"/>
      <c r="F11" s="79"/>
      <c r="G11" s="79"/>
      <c r="H11" s="79"/>
      <c r="I11" s="79"/>
      <c r="J11" s="79"/>
    </row>
    <row r="12" spans="1:10" x14ac:dyDescent="0.25">
      <c r="B12" s="24" t="s">
        <v>3</v>
      </c>
      <c r="C12" s="25"/>
      <c r="D12" s="79" t="s">
        <v>74</v>
      </c>
      <c r="E12" s="79"/>
      <c r="F12" s="79"/>
      <c r="G12" s="79"/>
      <c r="H12" s="79"/>
      <c r="I12" s="79"/>
      <c r="J12" s="79"/>
    </row>
    <row r="14" spans="1:10" x14ac:dyDescent="0.25">
      <c r="B14" s="22" t="s">
        <v>14</v>
      </c>
    </row>
    <row r="15" spans="1:10" x14ac:dyDescent="0.25">
      <c r="B15" s="24" t="s">
        <v>11</v>
      </c>
      <c r="C15" s="25"/>
      <c r="D15" s="79" t="s">
        <v>27</v>
      </c>
      <c r="E15" s="79"/>
      <c r="F15" s="79"/>
      <c r="G15" s="79"/>
      <c r="H15" s="79"/>
      <c r="I15" s="79"/>
      <c r="J15" s="79"/>
    </row>
    <row r="16" spans="1:10" x14ac:dyDescent="0.25">
      <c r="B16" s="24" t="s">
        <v>9</v>
      </c>
      <c r="C16" s="25"/>
      <c r="D16" s="79" t="s">
        <v>26</v>
      </c>
      <c r="E16" s="79"/>
      <c r="F16" s="79"/>
      <c r="G16" s="79"/>
      <c r="H16" s="79"/>
      <c r="I16" s="79"/>
      <c r="J16" s="79"/>
    </row>
    <row r="17" spans="1:10" ht="30" customHeight="1" x14ac:dyDescent="0.25">
      <c r="B17" s="24" t="s">
        <v>8</v>
      </c>
      <c r="C17" s="25"/>
      <c r="D17" s="79" t="s">
        <v>32</v>
      </c>
      <c r="E17" s="79"/>
      <c r="F17" s="79"/>
      <c r="G17" s="79"/>
      <c r="H17" s="79"/>
      <c r="I17" s="79"/>
      <c r="J17" s="79"/>
    </row>
    <row r="18" spans="1:10" ht="30" customHeight="1" x14ac:dyDescent="0.25">
      <c r="B18" s="24" t="s">
        <v>10</v>
      </c>
      <c r="C18" s="25"/>
      <c r="D18" s="79" t="s">
        <v>25</v>
      </c>
      <c r="E18" s="79"/>
      <c r="F18" s="79"/>
      <c r="G18" s="79"/>
      <c r="H18" s="79"/>
      <c r="I18" s="79"/>
      <c r="J18" s="79"/>
    </row>
    <row r="19" spans="1:10" x14ac:dyDescent="0.25">
      <c r="B19" s="24" t="s">
        <v>12</v>
      </c>
      <c r="C19" s="25"/>
      <c r="D19" s="79" t="s">
        <v>24</v>
      </c>
      <c r="E19" s="79"/>
      <c r="F19" s="79"/>
      <c r="G19" s="79"/>
      <c r="H19" s="79"/>
      <c r="I19" s="79"/>
      <c r="J19" s="79"/>
    </row>
    <row r="20" spans="1:10" ht="6" customHeight="1" x14ac:dyDescent="0.25">
      <c r="B20" s="24"/>
      <c r="D20" s="26"/>
      <c r="E20" s="26"/>
      <c r="F20" s="26"/>
      <c r="G20" s="26"/>
      <c r="H20" s="26"/>
      <c r="I20" s="26"/>
      <c r="J20" s="26"/>
    </row>
    <row r="21" spans="1:10" ht="36" customHeight="1" x14ac:dyDescent="0.25">
      <c r="A21" s="79" t="s">
        <v>75</v>
      </c>
      <c r="B21" s="79"/>
      <c r="C21" s="79"/>
      <c r="D21" s="79"/>
      <c r="E21" s="79"/>
      <c r="F21" s="79"/>
      <c r="G21" s="79"/>
      <c r="H21" s="79"/>
      <c r="I21" s="79"/>
      <c r="J21" s="79"/>
    </row>
    <row r="22" spans="1:10" ht="75.75" customHeight="1" x14ac:dyDescent="0.25">
      <c r="A22" s="79" t="s">
        <v>117</v>
      </c>
      <c r="B22" s="79"/>
      <c r="C22" s="79"/>
      <c r="D22" s="79"/>
      <c r="E22" s="79"/>
      <c r="F22" s="79"/>
      <c r="G22" s="79"/>
      <c r="H22" s="79"/>
      <c r="I22" s="79"/>
      <c r="J22" s="79"/>
    </row>
    <row r="23" spans="1:10" ht="37.5" customHeight="1" x14ac:dyDescent="0.25">
      <c r="A23" s="79" t="s">
        <v>76</v>
      </c>
      <c r="B23" s="79"/>
      <c r="C23" s="79"/>
      <c r="D23" s="79"/>
      <c r="E23" s="79"/>
      <c r="F23" s="79"/>
      <c r="G23" s="79"/>
      <c r="H23" s="79"/>
      <c r="I23" s="79"/>
      <c r="J23" s="79"/>
    </row>
  </sheetData>
  <sheetProtection algorithmName="SHA-512" hashValue="+UYIjmEM+nhsIdbVfVEpfptUPCwkqu0y9YnepNLEHU7tghy/vr0pjQ2JKhCq6gFAARvftXc0MhWsZi2UdQBb3g==" saltValue="CRn5arGU21wd4CRjQ2Dw8A==" spinCount="100000" sheet="1" objects="1" scenarios="1"/>
  <mergeCells count="18">
    <mergeCell ref="A23:J23"/>
    <mergeCell ref="D9:J9"/>
    <mergeCell ref="D10:J10"/>
    <mergeCell ref="D11:J11"/>
    <mergeCell ref="D12:J12"/>
    <mergeCell ref="D15:J15"/>
    <mergeCell ref="D16:J16"/>
    <mergeCell ref="D17:J17"/>
    <mergeCell ref="D18:J18"/>
    <mergeCell ref="D19:J19"/>
    <mergeCell ref="A21:J21"/>
    <mergeCell ref="A22:J22"/>
    <mergeCell ref="D8:J8"/>
    <mergeCell ref="A1:J1"/>
    <mergeCell ref="A2:J2"/>
    <mergeCell ref="A4:J4"/>
    <mergeCell ref="A5:J5"/>
    <mergeCell ref="A6:J6"/>
  </mergeCells>
  <pageMargins left="0.7" right="0.7" top="1.75" bottom="0.75" header="0.3" footer="0.3"/>
  <pageSetup orientation="portrait" verticalDpi="300" r:id="rId1"/>
  <headerFooter>
    <oddHeader>&amp;L&amp;G&amp;C&amp;A</oddHeader>
    <oddFooter>&amp;L1503&amp;R&amp;F</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9FA68-6249-49A3-82D7-258A34A2CBEC}">
  <sheetPr>
    <tabColor rgb="FF00476D"/>
  </sheetPr>
  <dimension ref="A1:C4"/>
  <sheetViews>
    <sheetView showGridLines="0" showRowColHeaders="0" zoomScale="150" zoomScaleNormal="150" workbookViewId="0">
      <selection activeCell="B2" sqref="B2"/>
    </sheetView>
  </sheetViews>
  <sheetFormatPr defaultRowHeight="15" x14ac:dyDescent="0.25"/>
  <cols>
    <col min="1" max="1" width="36.140625" bestFit="1" customWidth="1"/>
    <col min="2" max="3" width="25.7109375" customWidth="1"/>
  </cols>
  <sheetData>
    <row r="1" spans="1:3" ht="45" x14ac:dyDescent="0.25">
      <c r="A1" s="72" t="s">
        <v>110</v>
      </c>
      <c r="B1" s="64" t="s">
        <v>13</v>
      </c>
      <c r="C1" s="64" t="s">
        <v>14</v>
      </c>
    </row>
    <row r="2" spans="1:3" x14ac:dyDescent="0.25">
      <c r="A2" s="65" t="s">
        <v>111</v>
      </c>
      <c r="B2" s="68"/>
      <c r="C2" s="68"/>
    </row>
    <row r="3" spans="1:3" ht="30" x14ac:dyDescent="0.25">
      <c r="A3" s="65" t="s">
        <v>112</v>
      </c>
      <c r="B3" s="68"/>
      <c r="C3" s="68"/>
    </row>
    <row r="4" spans="1:3" x14ac:dyDescent="0.25">
      <c r="A4" s="65" t="s">
        <v>113</v>
      </c>
      <c r="B4" s="68"/>
      <c r="C4" s="68"/>
    </row>
  </sheetData>
  <sheetProtection algorithmName="SHA-512" hashValue="2oBRiYXN26AgwcYPHAd4W6VmjwevsNBOSAxEI9XaySM4RW5DhOzMjIe8AeTDmvYhHV9mZ8jqzw0cTE44M8RyIg==" saltValue="x0Hl/O/0M2lh6U6RWvk7OA==" spinCount="100000" sheet="1" objects="1" scenarios="1"/>
  <pageMargins left="0.7" right="0.7" top="0.75" bottom="0.75" header="0.3" footer="0.3"/>
  <pageSetup orientation="portrait" verticalDpi="300" r:id="rId1"/>
  <headerFooter>
    <oddHeader>&amp;C&amp;A</oddHeader>
    <oddFooter>&amp;L&amp;G&amp;R&amp;F</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FF2D2B6A-6304-4C56-A096-F4A37229404C}">
          <x14:formula1>
            <xm:f>Inputs!$A$1:$A$5</xm:f>
          </x14:formula1>
          <xm:sqref>B2:B4</xm:sqref>
        </x14:dataValidation>
        <x14:dataValidation type="list" allowBlank="1" showInputMessage="1" showErrorMessage="1" xr:uid="{AB7BC276-3C7B-485B-B79D-E52E61F2E39B}">
          <x14:formula1>
            <xm:f>Inputs!$D$1:$D$5</xm:f>
          </x14:formula1>
          <xm:sqref>C2:C4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EF427-4435-497E-94B6-35FD7D566FD4}">
  <sheetPr>
    <tabColor rgb="FFD14900"/>
  </sheetPr>
  <dimension ref="A1:V98"/>
  <sheetViews>
    <sheetView showGridLines="0" zoomScale="90" zoomScaleNormal="90" workbookViewId="0">
      <selection activeCell="B6" sqref="B1:B1048576"/>
    </sheetView>
  </sheetViews>
  <sheetFormatPr defaultRowHeight="15" x14ac:dyDescent="0.25"/>
  <cols>
    <col min="1" max="1" width="29.85546875" customWidth="1"/>
    <col min="2" max="2" width="20.7109375" hidden="1" customWidth="1"/>
    <col min="3" max="3" width="23.7109375" customWidth="1"/>
    <col min="4" max="7" width="25.7109375" hidden="1" customWidth="1"/>
    <col min="8" max="9" width="23.7109375" customWidth="1"/>
    <col min="13" max="13" width="33.140625" customWidth="1"/>
  </cols>
  <sheetData>
    <row r="1" spans="1:22" ht="24.75" customHeight="1" x14ac:dyDescent="0.25">
      <c r="A1" s="80" t="s">
        <v>92</v>
      </c>
      <c r="B1" s="80"/>
      <c r="C1" s="80"/>
      <c r="D1" s="80"/>
      <c r="E1" s="80"/>
      <c r="F1" s="80"/>
      <c r="G1" s="80"/>
      <c r="H1" s="80"/>
      <c r="I1" s="80"/>
      <c r="J1" s="67"/>
    </row>
    <row r="2" spans="1:22" ht="37.5" customHeight="1" x14ac:dyDescent="0.25">
      <c r="A2" s="79" t="s">
        <v>114</v>
      </c>
      <c r="B2" s="79"/>
      <c r="C2" s="79"/>
      <c r="D2" s="79"/>
      <c r="E2" s="79"/>
      <c r="F2" s="79"/>
      <c r="G2" s="79"/>
      <c r="H2" s="79"/>
      <c r="I2" s="79"/>
    </row>
    <row r="3" spans="1:22" ht="50.25" customHeight="1" x14ac:dyDescent="0.25">
      <c r="A3" s="79" t="s">
        <v>77</v>
      </c>
      <c r="B3" s="79"/>
      <c r="C3" s="79"/>
      <c r="D3" s="79"/>
      <c r="E3" s="79"/>
      <c r="F3" s="79"/>
      <c r="G3" s="79"/>
      <c r="H3" s="79"/>
      <c r="I3" s="79"/>
    </row>
    <row r="4" spans="1:22" ht="36" customHeight="1" x14ac:dyDescent="0.25">
      <c r="A4" s="81" t="s">
        <v>67</v>
      </c>
      <c r="B4" s="81"/>
      <c r="C4" s="81"/>
      <c r="D4" s="81"/>
      <c r="E4" s="81"/>
      <c r="F4" s="81"/>
      <c r="G4" s="81"/>
      <c r="H4" s="81"/>
      <c r="I4" s="81"/>
    </row>
    <row r="5" spans="1:22" ht="27.75" customHeight="1" x14ac:dyDescent="0.25">
      <c r="A5" s="91" t="s">
        <v>78</v>
      </c>
      <c r="B5" s="91"/>
      <c r="C5" s="91"/>
      <c r="D5" s="91"/>
      <c r="E5" s="91"/>
      <c r="F5" s="91"/>
      <c r="G5" s="91"/>
      <c r="H5" s="91"/>
      <c r="I5" s="91"/>
    </row>
    <row r="6" spans="1:22" ht="105.75" customHeight="1" x14ac:dyDescent="0.25">
      <c r="A6" s="47"/>
      <c r="B6" s="47"/>
      <c r="C6" s="88" t="s">
        <v>119</v>
      </c>
      <c r="D6" s="88"/>
      <c r="E6" s="88"/>
      <c r="F6" s="88"/>
      <c r="G6" s="88"/>
      <c r="H6" s="88"/>
      <c r="I6" s="88"/>
    </row>
    <row r="7" spans="1:22" ht="47.25" customHeight="1" thickBot="1" x14ac:dyDescent="0.3">
      <c r="A7" s="47"/>
      <c r="B7" s="47"/>
      <c r="C7" s="48"/>
      <c r="D7" s="48"/>
      <c r="E7" s="48"/>
      <c r="F7" s="48"/>
      <c r="G7" s="48"/>
      <c r="H7" s="48"/>
      <c r="I7" s="48"/>
    </row>
    <row r="8" spans="1:22" ht="50.1" customHeight="1" thickTop="1" x14ac:dyDescent="0.25">
      <c r="A8" s="2"/>
      <c r="B8" s="2"/>
      <c r="C8" s="2"/>
      <c r="D8" s="2"/>
      <c r="E8" s="2"/>
      <c r="F8" s="2"/>
      <c r="G8" s="2"/>
      <c r="H8" s="84" t="e">
        <f>CONCATENATE("In general, I ",VLOOKUP(F9,Inputs!B:C,2,FALSE),", and usually")</f>
        <v>#N/A</v>
      </c>
      <c r="I8" s="85"/>
    </row>
    <row r="9" spans="1:22" s="1" customFormat="1" ht="50.1" customHeight="1" thickBot="1" x14ac:dyDescent="0.3">
      <c r="A9" s="3"/>
      <c r="B9" s="3"/>
      <c r="C9" s="3"/>
      <c r="D9" s="3"/>
      <c r="E9" s="3"/>
      <c r="F9" s="3" t="e">
        <f>MODE(F11:F16)</f>
        <v>#N/A</v>
      </c>
      <c r="G9" s="3" t="e">
        <f>ROUNDDOWN(AVERAGE(G11:G16),0)</f>
        <v>#N/A</v>
      </c>
      <c r="H9" s="89" t="e">
        <f>VLOOKUP(G9,Inputs!E:F,2,FALSE)</f>
        <v>#N/A</v>
      </c>
      <c r="I9" s="90"/>
      <c r="V9"/>
    </row>
    <row r="10" spans="1:22" ht="31.5" thickTop="1" thickBot="1" x14ac:dyDescent="0.3">
      <c r="A10" s="8" t="s">
        <v>16</v>
      </c>
      <c r="B10" s="7" t="s">
        <v>33</v>
      </c>
      <c r="C10" s="27" t="s">
        <v>18</v>
      </c>
      <c r="D10" s="4" t="s">
        <v>45</v>
      </c>
      <c r="E10" s="4" t="s">
        <v>46</v>
      </c>
      <c r="F10" s="4" t="s">
        <v>15</v>
      </c>
      <c r="G10" s="4" t="s">
        <v>17</v>
      </c>
      <c r="H10" s="5" t="s">
        <v>19</v>
      </c>
      <c r="I10" s="6" t="s">
        <v>20</v>
      </c>
      <c r="J10" s="2"/>
      <c r="K10" s="2"/>
    </row>
    <row r="11" spans="1:22" ht="45.75" thickTop="1" x14ac:dyDescent="0.25">
      <c r="A11" s="32" t="str">
        <f>'I. Finance Theory'!A2</f>
        <v>A. Risk Theory</v>
      </c>
      <c r="B11" s="32" t="s">
        <v>0</v>
      </c>
      <c r="C11" s="30" t="s">
        <v>181</v>
      </c>
      <c r="D11" s="36">
        <f>77-15</f>
        <v>62</v>
      </c>
      <c r="E11" s="36" t="e">
        <f>(IF(H11="",0,D11))+(IF(I11="",0,D11))</f>
        <v>#N/A</v>
      </c>
      <c r="F11" s="36" t="e">
        <f>VLOOKUP('I. Finance Theory'!B2,Inputs!A:B,2,FALSE)</f>
        <v>#N/A</v>
      </c>
      <c r="G11" s="37" t="e">
        <f>VLOOKUP('I. Finance Theory'!C2,Inputs!D:E,2,FALSE)</f>
        <v>#N/A</v>
      </c>
      <c r="H11" s="41" t="e">
        <f>IF(OR(F11&gt;3,G11&gt;3),C11,"")</f>
        <v>#N/A</v>
      </c>
      <c r="I11" s="42" t="e">
        <f>IF(H11="",IF(OR(F11&gt;2,G11&gt;2),C11,""),"")</f>
        <v>#N/A</v>
      </c>
    </row>
    <row r="12" spans="1:22" ht="45" x14ac:dyDescent="0.25">
      <c r="A12" s="32" t="str">
        <f>'I. Finance Theory'!A3</f>
        <v>B. Portfolio Theory and Mathematics</v>
      </c>
      <c r="B12" s="33" t="s">
        <v>1</v>
      </c>
      <c r="C12" s="30" t="s">
        <v>181</v>
      </c>
      <c r="D12" s="39">
        <f>139-77</f>
        <v>62</v>
      </c>
      <c r="E12" s="39" t="e">
        <f t="shared" ref="E12:E16" si="0">(IF(H12="",0,D12))+(IF(I12="",0,D12))</f>
        <v>#N/A</v>
      </c>
      <c r="F12" s="39" t="e">
        <f>VLOOKUP('I. Finance Theory'!B3,Inputs!A:B,2,FALSE)</f>
        <v>#N/A</v>
      </c>
      <c r="G12" s="40" t="e">
        <f>VLOOKUP('I. Finance Theory'!C3,Inputs!D:E,2,FALSE)</f>
        <v>#N/A</v>
      </c>
      <c r="H12" s="43" t="e">
        <f t="shared" ref="H12:H16" si="1">IF(OR(F12&gt;3,G12&gt;3),C12,"")</f>
        <v>#N/A</v>
      </c>
      <c r="I12" s="44" t="e">
        <f t="shared" ref="I12:I16" si="2">IF(H12="",IF(OR(F12&gt;2,G12&gt;2),C12,""),"")</f>
        <v>#N/A</v>
      </c>
    </row>
    <row r="13" spans="1:22" ht="45" x14ac:dyDescent="0.25">
      <c r="A13" s="32" t="str">
        <f>'I. Finance Theory'!A4</f>
        <v>C. Asset Allocation</v>
      </c>
      <c r="B13" s="33" t="s">
        <v>1</v>
      </c>
      <c r="C13" s="30" t="s">
        <v>181</v>
      </c>
      <c r="D13" s="39">
        <f>171-139</f>
        <v>32</v>
      </c>
      <c r="E13" s="39" t="e">
        <f>(IF(H13="",0,D13))+(IF(I13="",0,D13))</f>
        <v>#N/A</v>
      </c>
      <c r="F13" s="39" t="e">
        <f>VLOOKUP('I. Finance Theory'!B4,Inputs!A:B,2,FALSE)</f>
        <v>#N/A</v>
      </c>
      <c r="G13" s="40" t="e">
        <f>VLOOKUP('I. Finance Theory'!C4,Inputs!D:E,2,FALSE)</f>
        <v>#N/A</v>
      </c>
      <c r="H13" s="43" t="e">
        <f t="shared" si="1"/>
        <v>#N/A</v>
      </c>
      <c r="I13" s="44" t="e">
        <f t="shared" si="2"/>
        <v>#N/A</v>
      </c>
    </row>
    <row r="14" spans="1:22" ht="45" x14ac:dyDescent="0.25">
      <c r="A14" s="32" t="str">
        <f>'I. Finance Theory'!A5</f>
        <v>D. The CAPM and Multifactor Models</v>
      </c>
      <c r="B14" s="33" t="s">
        <v>1</v>
      </c>
      <c r="C14" s="30" t="s">
        <v>181</v>
      </c>
      <c r="D14" s="39">
        <f>192-171</f>
        <v>21</v>
      </c>
      <c r="E14" s="39" t="e">
        <f t="shared" si="0"/>
        <v>#N/A</v>
      </c>
      <c r="F14" s="39" t="e">
        <f>VLOOKUP('I. Finance Theory'!B5,Inputs!A:B,2,FALSE)</f>
        <v>#N/A</v>
      </c>
      <c r="G14" s="40" t="e">
        <f>VLOOKUP('I. Finance Theory'!C5,Inputs!D:E,2,FALSE)</f>
        <v>#N/A</v>
      </c>
      <c r="H14" s="43" t="e">
        <f t="shared" si="1"/>
        <v>#N/A</v>
      </c>
      <c r="I14" s="44" t="e">
        <f t="shared" si="2"/>
        <v>#N/A</v>
      </c>
    </row>
    <row r="15" spans="1:22" ht="45" x14ac:dyDescent="0.25">
      <c r="A15" s="32" t="str">
        <f>'I. Finance Theory'!A6</f>
        <v>E. Capital Structures</v>
      </c>
      <c r="B15" s="33" t="s">
        <v>1</v>
      </c>
      <c r="C15" s="30" t="s">
        <v>181</v>
      </c>
      <c r="D15" s="39">
        <f>224-192</f>
        <v>32</v>
      </c>
      <c r="E15" s="39" t="e">
        <f t="shared" si="0"/>
        <v>#N/A</v>
      </c>
      <c r="F15" s="39" t="e">
        <f>VLOOKUP('I. Finance Theory'!B6,Inputs!A:B,2,FALSE)</f>
        <v>#N/A</v>
      </c>
      <c r="G15" s="40" t="e">
        <f>VLOOKUP('I. Finance Theory'!C6,Inputs!D:E,2,FALSE)</f>
        <v>#N/A</v>
      </c>
      <c r="H15" s="43" t="e">
        <f t="shared" si="1"/>
        <v>#N/A</v>
      </c>
      <c r="I15" s="44" t="e">
        <f t="shared" si="2"/>
        <v>#N/A</v>
      </c>
    </row>
    <row r="16" spans="1:22" ht="45" x14ac:dyDescent="0.25">
      <c r="A16" s="32" t="str">
        <f>'I. Finance Theory'!A7</f>
        <v>F. The Term Structure of Interest Rates</v>
      </c>
      <c r="B16" s="33" t="s">
        <v>0</v>
      </c>
      <c r="C16" s="30" t="s">
        <v>181</v>
      </c>
      <c r="D16" s="39">
        <f>271-224</f>
        <v>47</v>
      </c>
      <c r="E16" s="39" t="e">
        <f t="shared" si="0"/>
        <v>#N/A</v>
      </c>
      <c r="F16" s="39" t="e">
        <f>VLOOKUP('I. Finance Theory'!B7,Inputs!A:B,2,FALSE)</f>
        <v>#N/A</v>
      </c>
      <c r="G16" s="40" t="e">
        <f>VLOOKUP('I. Finance Theory'!C7,Inputs!D:E,2,FALSE)</f>
        <v>#N/A</v>
      </c>
      <c r="H16" s="43" t="e">
        <f t="shared" si="1"/>
        <v>#N/A</v>
      </c>
      <c r="I16" s="44" t="e">
        <f t="shared" si="2"/>
        <v>#N/A</v>
      </c>
    </row>
    <row r="17" spans="1:9" ht="15.75" thickBot="1" x14ac:dyDescent="0.3">
      <c r="A17" s="28"/>
      <c r="B17" s="28"/>
      <c r="C17" s="28"/>
      <c r="D17" s="2"/>
      <c r="E17" s="2"/>
      <c r="F17" s="2"/>
      <c r="G17" s="2"/>
      <c r="H17" s="2"/>
      <c r="I17" s="2"/>
    </row>
    <row r="18" spans="1:9" ht="50.1" customHeight="1" thickTop="1" x14ac:dyDescent="0.25">
      <c r="A18" s="28"/>
      <c r="B18" s="28"/>
      <c r="C18" s="28"/>
      <c r="D18" s="2"/>
      <c r="E18" s="2"/>
      <c r="F18" s="2"/>
      <c r="G18" s="2"/>
      <c r="H18" s="86" t="e">
        <f>CONCATENATE("In general, I ",VLOOKUP(F19,Inputs!B:C,2,FALSE),", and usually")</f>
        <v>#N/A</v>
      </c>
      <c r="I18" s="87"/>
    </row>
    <row r="19" spans="1:9" s="1" customFormat="1" ht="50.1" customHeight="1" thickBot="1" x14ac:dyDescent="0.3">
      <c r="A19" s="29"/>
      <c r="B19" s="29"/>
      <c r="C19" s="29"/>
      <c r="D19" s="3"/>
      <c r="E19" s="3"/>
      <c r="F19" s="3" t="e">
        <f>MODE(F21:F27)</f>
        <v>#N/A</v>
      </c>
      <c r="G19" s="3" t="e">
        <f>ROUNDDOWN(AVERAGE(G21:G27),0)</f>
        <v>#N/A</v>
      </c>
      <c r="H19" s="82" t="e">
        <f>VLOOKUP(G19,Inputs!E:F,2,FALSE)</f>
        <v>#N/A</v>
      </c>
      <c r="I19" s="83"/>
    </row>
    <row r="20" spans="1:9" ht="31.5" thickTop="1" thickBot="1" x14ac:dyDescent="0.3">
      <c r="A20" s="8" t="s">
        <v>21</v>
      </c>
      <c r="B20" s="7" t="s">
        <v>33</v>
      </c>
      <c r="C20" s="27" t="s">
        <v>18</v>
      </c>
      <c r="D20" s="4"/>
      <c r="E20" s="4"/>
      <c r="F20" s="4" t="s">
        <v>15</v>
      </c>
      <c r="G20" s="4" t="s">
        <v>17</v>
      </c>
      <c r="H20" s="5" t="s">
        <v>19</v>
      </c>
      <c r="I20" s="6" t="s">
        <v>20</v>
      </c>
    </row>
    <row r="21" spans="1:9" ht="45.75" thickTop="1" x14ac:dyDescent="0.25">
      <c r="A21" s="30" t="str">
        <f>'II. Financial Instruments'!A2</f>
        <v>A. Bonds</v>
      </c>
      <c r="B21" s="30" t="s">
        <v>2</v>
      </c>
      <c r="C21" s="30" t="s">
        <v>182</v>
      </c>
      <c r="D21" s="36">
        <f>354-271</f>
        <v>83</v>
      </c>
      <c r="E21" s="36" t="e">
        <f t="shared" ref="E21:E27" si="3">(IF(H21="",0,D21))+(IF(I21="",0,D21))</f>
        <v>#N/A</v>
      </c>
      <c r="F21" s="36" t="e">
        <f>VLOOKUP('II. Financial Instruments'!B2,Inputs!A:B,2,FALSE)</f>
        <v>#N/A</v>
      </c>
      <c r="G21" s="37" t="e">
        <f>VLOOKUP('II. Financial Instruments'!C2,Inputs!D:E,2,FALSE)</f>
        <v>#N/A</v>
      </c>
      <c r="H21" s="41" t="e">
        <f t="shared" ref="H21:H27" si="4">IF(OR(F21&gt;3,G21&gt;3),C21,"")</f>
        <v>#N/A</v>
      </c>
      <c r="I21" s="42" t="e">
        <f t="shared" ref="I21:I27" si="5">IF(H21="",IF(OR(F21&gt;2,G21&gt;2),C21,""),"")</f>
        <v>#N/A</v>
      </c>
    </row>
    <row r="22" spans="1:9" ht="45" x14ac:dyDescent="0.25">
      <c r="A22" s="30" t="str">
        <f>'II. Financial Instruments'!A3</f>
        <v>B. Forward and Futures Contracts</v>
      </c>
      <c r="B22" s="31" t="s">
        <v>2</v>
      </c>
      <c r="C22" s="30" t="s">
        <v>182</v>
      </c>
      <c r="D22" s="39">
        <f>412-354</f>
        <v>58</v>
      </c>
      <c r="E22" s="39" t="e">
        <f t="shared" si="3"/>
        <v>#N/A</v>
      </c>
      <c r="F22" s="39" t="e">
        <f>VLOOKUP('II. Financial Instruments'!B3,Inputs!A:B,2,FALSE)</f>
        <v>#N/A</v>
      </c>
      <c r="G22" s="40" t="e">
        <f>VLOOKUP('II. Financial Instruments'!C3,Inputs!D:E,2,FALSE)</f>
        <v>#N/A</v>
      </c>
      <c r="H22" s="43" t="e">
        <f t="shared" si="4"/>
        <v>#N/A</v>
      </c>
      <c r="I22" s="44" t="e">
        <f t="shared" si="5"/>
        <v>#N/A</v>
      </c>
    </row>
    <row r="23" spans="1:9" ht="45" x14ac:dyDescent="0.25">
      <c r="A23" s="30" t="str">
        <f>'II. Financial Instruments'!A4</f>
        <v>C. Swaps</v>
      </c>
      <c r="B23" s="31" t="s">
        <v>0</v>
      </c>
      <c r="C23" s="30" t="s">
        <v>182</v>
      </c>
      <c r="D23" s="39">
        <f>443-412</f>
        <v>31</v>
      </c>
      <c r="E23" s="39" t="e">
        <f t="shared" si="3"/>
        <v>#N/A</v>
      </c>
      <c r="F23" s="39" t="e">
        <f>VLOOKUP('II. Financial Instruments'!B4,Inputs!A:B,2,FALSE)</f>
        <v>#N/A</v>
      </c>
      <c r="G23" s="40" t="e">
        <f>VLOOKUP('II. Financial Instruments'!C4,Inputs!D:E,2,FALSE)</f>
        <v>#N/A</v>
      </c>
      <c r="H23" s="43" t="e">
        <f t="shared" si="4"/>
        <v>#N/A</v>
      </c>
      <c r="I23" s="44" t="e">
        <f t="shared" si="5"/>
        <v>#N/A</v>
      </c>
    </row>
    <row r="24" spans="1:9" ht="45" x14ac:dyDescent="0.25">
      <c r="A24" s="30" t="str">
        <f>'II. Financial Instruments'!A5</f>
        <v>D. Options</v>
      </c>
      <c r="B24" s="31" t="s">
        <v>1</v>
      </c>
      <c r="C24" s="30" t="s">
        <v>182</v>
      </c>
      <c r="D24" s="39">
        <f>487-443</f>
        <v>44</v>
      </c>
      <c r="E24" s="39" t="e">
        <f t="shared" si="3"/>
        <v>#N/A</v>
      </c>
      <c r="F24" s="39" t="e">
        <f>VLOOKUP('II. Financial Instruments'!B5,Inputs!A:B,2,FALSE)</f>
        <v>#N/A</v>
      </c>
      <c r="G24" s="40" t="e">
        <f>VLOOKUP('II. Financial Instruments'!C5,Inputs!D:E,2,FALSE)</f>
        <v>#N/A</v>
      </c>
      <c r="H24" s="43" t="e">
        <f t="shared" si="4"/>
        <v>#N/A</v>
      </c>
      <c r="I24" s="44" t="e">
        <f t="shared" si="5"/>
        <v>#N/A</v>
      </c>
    </row>
    <row r="25" spans="1:9" ht="45" x14ac:dyDescent="0.25">
      <c r="A25" s="30" t="str">
        <f>'II. Financial Instruments'!A6</f>
        <v>E. Credit Derivatives</v>
      </c>
      <c r="B25" s="31" t="s">
        <v>1</v>
      </c>
      <c r="C25" s="30" t="s">
        <v>182</v>
      </c>
      <c r="D25" s="39">
        <f>536-487</f>
        <v>49</v>
      </c>
      <c r="E25" s="39" t="e">
        <f t="shared" si="3"/>
        <v>#N/A</v>
      </c>
      <c r="F25" s="39" t="e">
        <f>VLOOKUP('II. Financial Instruments'!B6,Inputs!A:B,2,FALSE)</f>
        <v>#N/A</v>
      </c>
      <c r="G25" s="40" t="e">
        <f>VLOOKUP('II. Financial Instruments'!C6,Inputs!D:E,2,FALSE)</f>
        <v>#N/A</v>
      </c>
      <c r="H25" s="43" t="e">
        <f t="shared" si="4"/>
        <v>#N/A</v>
      </c>
      <c r="I25" s="44" t="e">
        <f t="shared" si="5"/>
        <v>#N/A</v>
      </c>
    </row>
    <row r="26" spans="1:9" ht="45" x14ac:dyDescent="0.25">
      <c r="A26" s="30" t="str">
        <f>'II. Financial Instruments'!A7</f>
        <v>F. Caps, Floors, and Swaptions</v>
      </c>
      <c r="B26" s="31" t="s">
        <v>2</v>
      </c>
      <c r="C26" s="30" t="s">
        <v>182</v>
      </c>
      <c r="D26" s="39">
        <f>556-536</f>
        <v>20</v>
      </c>
      <c r="E26" s="39" t="e">
        <f t="shared" si="3"/>
        <v>#N/A</v>
      </c>
      <c r="F26" s="39" t="e">
        <f>VLOOKUP('II. Financial Instruments'!B7,Inputs!A:B,2,FALSE)</f>
        <v>#N/A</v>
      </c>
      <c r="G26" s="40" t="e">
        <f>VLOOKUP('II. Financial Instruments'!C7,Inputs!D:E,2,FALSE)</f>
        <v>#N/A</v>
      </c>
      <c r="H26" s="43" t="e">
        <f t="shared" si="4"/>
        <v>#N/A</v>
      </c>
      <c r="I26" s="44" t="e">
        <f t="shared" si="5"/>
        <v>#N/A</v>
      </c>
    </row>
    <row r="27" spans="1:9" ht="45.75" thickBot="1" x14ac:dyDescent="0.3">
      <c r="A27" s="30" t="str">
        <f>'II. Financial Instruments'!A8</f>
        <v>G. Virtual Assets</v>
      </c>
      <c r="B27" s="31" t="s">
        <v>1</v>
      </c>
      <c r="C27" s="30" t="s">
        <v>182</v>
      </c>
      <c r="D27" s="39">
        <f>567-556</f>
        <v>11</v>
      </c>
      <c r="E27" s="39" t="e">
        <f t="shared" si="3"/>
        <v>#N/A</v>
      </c>
      <c r="F27" s="39" t="e">
        <f>VLOOKUP('II. Financial Instruments'!B8,Inputs!A:B,2,FALSE)</f>
        <v>#N/A</v>
      </c>
      <c r="G27" s="40" t="e">
        <f>VLOOKUP('II. Financial Instruments'!C8,Inputs!D:E,2,FALSE)</f>
        <v>#N/A</v>
      </c>
      <c r="H27" s="45" t="e">
        <f t="shared" si="4"/>
        <v>#N/A</v>
      </c>
      <c r="I27" s="46" t="e">
        <f t="shared" si="5"/>
        <v>#N/A</v>
      </c>
    </row>
    <row r="28" spans="1:9" ht="15.75" thickBot="1" x14ac:dyDescent="0.3">
      <c r="A28" s="28"/>
      <c r="B28" s="28"/>
      <c r="C28" s="28"/>
      <c r="D28" s="2"/>
      <c r="E28" s="2"/>
      <c r="F28" s="2"/>
      <c r="G28" s="2"/>
      <c r="H28" s="2"/>
      <c r="I28" s="2"/>
    </row>
    <row r="29" spans="1:9" ht="50.1" customHeight="1" thickTop="1" x14ac:dyDescent="0.25">
      <c r="A29" s="28"/>
      <c r="B29" s="28"/>
      <c r="C29" s="28"/>
      <c r="D29" s="2"/>
      <c r="E29" s="2"/>
      <c r="F29" s="2"/>
      <c r="G29" s="2"/>
      <c r="H29" s="86" t="e">
        <f>CONCATENATE("In general, I ",VLOOKUP(F30,Inputs!B:C,2,FALSE),", and usually")</f>
        <v>#N/A</v>
      </c>
      <c r="I29" s="87"/>
    </row>
    <row r="30" spans="1:9" s="1" customFormat="1" ht="50.1" customHeight="1" thickBot="1" x14ac:dyDescent="0.3">
      <c r="A30" s="29"/>
      <c r="B30" s="29"/>
      <c r="C30" s="29"/>
      <c r="D30" s="3"/>
      <c r="E30" s="3"/>
      <c r="F30" s="3" t="e">
        <f>MODE(F32:F40)</f>
        <v>#N/A</v>
      </c>
      <c r="G30" s="3" t="e">
        <f>ROUNDDOWN(AVERAGE(G32:G40),0)</f>
        <v>#N/A</v>
      </c>
      <c r="H30" s="82" t="e">
        <f>VLOOKUP(G30,Inputs!E:F,2,FALSE)</f>
        <v>#N/A</v>
      </c>
      <c r="I30" s="83"/>
    </row>
    <row r="31" spans="1:9" ht="31.5" thickTop="1" thickBot="1" x14ac:dyDescent="0.3">
      <c r="A31" s="8" t="s">
        <v>22</v>
      </c>
      <c r="B31" s="7" t="s">
        <v>33</v>
      </c>
      <c r="C31" s="27" t="s">
        <v>18</v>
      </c>
      <c r="D31" s="4"/>
      <c r="E31" s="4"/>
      <c r="F31" s="4" t="s">
        <v>15</v>
      </c>
      <c r="G31" s="4" t="s">
        <v>17</v>
      </c>
      <c r="H31" s="5" t="s">
        <v>19</v>
      </c>
      <c r="I31" s="6" t="s">
        <v>20</v>
      </c>
    </row>
    <row r="32" spans="1:9" ht="45.75" thickTop="1" x14ac:dyDescent="0.25">
      <c r="A32" s="30" t="str">
        <f>'III. Financial Markets'!A2</f>
        <v>A. Participants in and the Structure of Financial Markets</v>
      </c>
      <c r="B32" s="30" t="s">
        <v>1</v>
      </c>
      <c r="C32" s="30" t="s">
        <v>183</v>
      </c>
      <c r="D32" s="36">
        <f>618-571</f>
        <v>47</v>
      </c>
      <c r="E32" s="36" t="e">
        <f t="shared" ref="E32:E40" si="6">(IF(H32="",0,D32))+(IF(I32="",0,D32))</f>
        <v>#N/A</v>
      </c>
      <c r="F32" s="36" t="e">
        <f>VLOOKUP('III. Financial Markets'!B2,Inputs!A:B,2,FALSE)</f>
        <v>#N/A</v>
      </c>
      <c r="G32" s="37" t="e">
        <f>VLOOKUP('III. Financial Markets'!C2,Inputs!D:E,2,FALSE)</f>
        <v>#N/A</v>
      </c>
      <c r="H32" s="41" t="e">
        <f t="shared" ref="H32:H40" si="7">IF(OR(F32&gt;3,G32&gt;3),C32,"")</f>
        <v>#N/A</v>
      </c>
      <c r="I32" s="42" t="e">
        <f t="shared" ref="I32:I40" si="8">IF(H32="",IF(OR(F32&gt;2,G32&gt;2),C32,""),"")</f>
        <v>#N/A</v>
      </c>
    </row>
    <row r="33" spans="1:9" ht="45" x14ac:dyDescent="0.25">
      <c r="A33" s="30" t="str">
        <f>'III. Financial Markets'!A3</f>
        <v>B. Bond Markets</v>
      </c>
      <c r="B33" s="31" t="s">
        <v>1</v>
      </c>
      <c r="C33" s="30" t="s">
        <v>183</v>
      </c>
      <c r="D33" s="39">
        <f>659-636</f>
        <v>23</v>
      </c>
      <c r="E33" s="39" t="e">
        <f t="shared" si="6"/>
        <v>#N/A</v>
      </c>
      <c r="F33" s="39" t="e">
        <f>VLOOKUP('III. Financial Markets'!B3,Inputs!A:B,2,FALSE)</f>
        <v>#N/A</v>
      </c>
      <c r="G33" s="40" t="e">
        <f>VLOOKUP('III. Financial Markets'!C3,Inputs!D:E,2,FALSE)</f>
        <v>#N/A</v>
      </c>
      <c r="H33" s="43" t="e">
        <f t="shared" si="7"/>
        <v>#N/A</v>
      </c>
      <c r="I33" s="44" t="e">
        <f t="shared" si="8"/>
        <v>#N/A</v>
      </c>
    </row>
    <row r="34" spans="1:9" ht="45" x14ac:dyDescent="0.25">
      <c r="A34" s="30" t="str">
        <f>'III. Financial Markets'!A4</f>
        <v>C. Money Market Securities</v>
      </c>
      <c r="B34" s="31" t="s">
        <v>1</v>
      </c>
      <c r="C34" s="30" t="s">
        <v>183</v>
      </c>
      <c r="D34" s="39">
        <f>636-618</f>
        <v>18</v>
      </c>
      <c r="E34" s="39" t="e">
        <f t="shared" si="6"/>
        <v>#N/A</v>
      </c>
      <c r="F34" s="39" t="e">
        <f>VLOOKUP('III. Financial Markets'!B4,Inputs!A:B,2,FALSE)</f>
        <v>#N/A</v>
      </c>
      <c r="G34" s="40" t="e">
        <f>VLOOKUP('III. Financial Markets'!C4,Inputs!D:E,2,FALSE)</f>
        <v>#N/A</v>
      </c>
      <c r="H34" s="43" t="e">
        <f t="shared" si="7"/>
        <v>#N/A</v>
      </c>
      <c r="I34" s="44" t="e">
        <f t="shared" si="8"/>
        <v>#N/A</v>
      </c>
    </row>
    <row r="35" spans="1:9" ht="45" x14ac:dyDescent="0.25">
      <c r="A35" s="30" t="str">
        <f>'III. Financial Markets'!A5</f>
        <v>D. Stock Market</v>
      </c>
      <c r="B35" s="31" t="s">
        <v>0</v>
      </c>
      <c r="C35" s="30" t="s">
        <v>183</v>
      </c>
      <c r="D35" s="39">
        <f>726-697</f>
        <v>29</v>
      </c>
      <c r="E35" s="39" t="e">
        <f t="shared" si="6"/>
        <v>#N/A</v>
      </c>
      <c r="F35" s="39" t="e">
        <f>VLOOKUP('III. Financial Markets'!B5,Inputs!A:B,2,FALSE)</f>
        <v>#N/A</v>
      </c>
      <c r="G35" s="40" t="e">
        <f>VLOOKUP('III. Financial Markets'!C5,Inputs!D:E,2,FALSE)</f>
        <v>#N/A</v>
      </c>
      <c r="H35" s="43" t="e">
        <f t="shared" si="7"/>
        <v>#N/A</v>
      </c>
      <c r="I35" s="44" t="e">
        <f t="shared" si="8"/>
        <v>#N/A</v>
      </c>
    </row>
    <row r="36" spans="1:9" ht="45" x14ac:dyDescent="0.25">
      <c r="A36" s="30" t="str">
        <f>'III. Financial Markets'!A6</f>
        <v>E. Foreign Exchange Markets</v>
      </c>
      <c r="B36" s="31" t="s">
        <v>2</v>
      </c>
      <c r="C36" s="30" t="s">
        <v>183</v>
      </c>
      <c r="D36" s="39">
        <f>697-659</f>
        <v>38</v>
      </c>
      <c r="E36" s="39" t="e">
        <f t="shared" si="6"/>
        <v>#N/A</v>
      </c>
      <c r="F36" s="39" t="e">
        <f>VLOOKUP('III. Financial Markets'!B6,Inputs!A:B,2,FALSE)</f>
        <v>#N/A</v>
      </c>
      <c r="G36" s="40" t="e">
        <f>VLOOKUP('III. Financial Markets'!C6,Inputs!D:E,2,FALSE)</f>
        <v>#N/A</v>
      </c>
      <c r="H36" s="43" t="e">
        <f t="shared" si="7"/>
        <v>#N/A</v>
      </c>
      <c r="I36" s="44" t="e">
        <f t="shared" si="8"/>
        <v>#N/A</v>
      </c>
    </row>
    <row r="37" spans="1:9" ht="45" x14ac:dyDescent="0.25">
      <c r="A37" s="30" t="str">
        <f>'III. Financial Markets'!A7</f>
        <v>F. Energy Markets</v>
      </c>
      <c r="B37" s="31" t="s">
        <v>0</v>
      </c>
      <c r="C37" s="30" t="s">
        <v>183</v>
      </c>
      <c r="D37" s="39">
        <f>833-780</f>
        <v>53</v>
      </c>
      <c r="E37" s="39" t="e">
        <f t="shared" si="6"/>
        <v>#N/A</v>
      </c>
      <c r="F37" s="39" t="e">
        <f>VLOOKUP('III. Financial Markets'!B7,Inputs!A:B,2,FALSE)</f>
        <v>#N/A</v>
      </c>
      <c r="G37" s="40" t="e">
        <f>VLOOKUP('III. Financial Markets'!C7,Inputs!D:E,2,FALSE)</f>
        <v>#N/A</v>
      </c>
      <c r="H37" s="43" t="e">
        <f t="shared" si="7"/>
        <v>#N/A</v>
      </c>
      <c r="I37" s="44" t="e">
        <f t="shared" si="8"/>
        <v>#N/A</v>
      </c>
    </row>
    <row r="38" spans="1:9" ht="45" x14ac:dyDescent="0.25">
      <c r="A38" s="30" t="str">
        <f>'III. Financial Markets'!A8</f>
        <v>G. Commodities Markets</v>
      </c>
      <c r="B38" s="31" t="s">
        <v>0</v>
      </c>
      <c r="C38" s="30" t="s">
        <v>183</v>
      </c>
      <c r="D38" s="39">
        <f>780-756</f>
        <v>24</v>
      </c>
      <c r="E38" s="39" t="e">
        <f t="shared" si="6"/>
        <v>#N/A</v>
      </c>
      <c r="F38" s="39" t="e">
        <f>VLOOKUP('III. Financial Markets'!B8,Inputs!A:B,2,FALSE)</f>
        <v>#N/A</v>
      </c>
      <c r="G38" s="40" t="e">
        <f>VLOOKUP('III. Financial Markets'!C8,Inputs!D:E,2,FALSE)</f>
        <v>#N/A</v>
      </c>
      <c r="H38" s="43" t="e">
        <f t="shared" si="7"/>
        <v>#N/A</v>
      </c>
      <c r="I38" s="44" t="e">
        <f t="shared" si="8"/>
        <v>#N/A</v>
      </c>
    </row>
    <row r="39" spans="1:9" ht="45" x14ac:dyDescent="0.25">
      <c r="A39" s="30" t="str">
        <f>'III. Financial Markets'!A9</f>
        <v>H. Futures Markets</v>
      </c>
      <c r="B39" s="31" t="s">
        <v>0</v>
      </c>
      <c r="C39" s="30" t="s">
        <v>183</v>
      </c>
      <c r="D39" s="39">
        <f>756-726</f>
        <v>30</v>
      </c>
      <c r="E39" s="39" t="e">
        <f t="shared" si="6"/>
        <v>#N/A</v>
      </c>
      <c r="F39" s="39" t="e">
        <f>VLOOKUP('III. Financial Markets'!B9,Inputs!A:B,2,FALSE)</f>
        <v>#N/A</v>
      </c>
      <c r="G39" s="40" t="e">
        <f>VLOOKUP('III. Financial Markets'!C9,Inputs!D:E,2,FALSE)</f>
        <v>#N/A</v>
      </c>
      <c r="H39" s="43" t="e">
        <f t="shared" si="7"/>
        <v>#N/A</v>
      </c>
      <c r="I39" s="44" t="e">
        <f t="shared" si="8"/>
        <v>#N/A</v>
      </c>
    </row>
    <row r="40" spans="1:9" ht="45.75" thickBot="1" x14ac:dyDescent="0.3">
      <c r="A40" s="30" t="str">
        <f>'III. Financial Markets'!A10</f>
        <v>I. Fintech Markets</v>
      </c>
      <c r="B40" s="31" t="s">
        <v>0</v>
      </c>
      <c r="C40" s="30" t="s">
        <v>183</v>
      </c>
      <c r="D40" s="39">
        <f>840-833</f>
        <v>7</v>
      </c>
      <c r="E40" s="39" t="e">
        <f t="shared" si="6"/>
        <v>#N/A</v>
      </c>
      <c r="F40" s="39" t="e">
        <f>VLOOKUP('III. Financial Markets'!B10,Inputs!A:B,2,FALSE)</f>
        <v>#N/A</v>
      </c>
      <c r="G40" s="40" t="e">
        <f>VLOOKUP('III. Financial Markets'!C10,Inputs!D:E,2,FALSE)</f>
        <v>#N/A</v>
      </c>
      <c r="H40" s="45" t="e">
        <f t="shared" si="7"/>
        <v>#N/A</v>
      </c>
      <c r="I40" s="46" t="e">
        <f t="shared" si="8"/>
        <v>#N/A</v>
      </c>
    </row>
    <row r="41" spans="1:9" ht="15.75" thickBot="1" x14ac:dyDescent="0.3">
      <c r="A41" s="28"/>
      <c r="B41" s="28"/>
      <c r="C41" s="28"/>
      <c r="D41" s="2"/>
      <c r="E41" s="2"/>
      <c r="F41" s="2"/>
      <c r="G41" s="2"/>
      <c r="H41" s="2"/>
      <c r="I41" s="2"/>
    </row>
    <row r="42" spans="1:9" ht="50.1" customHeight="1" thickTop="1" x14ac:dyDescent="0.25">
      <c r="A42" s="28"/>
      <c r="B42" s="28"/>
      <c r="C42" s="28"/>
      <c r="D42" s="2"/>
      <c r="E42" s="2"/>
      <c r="F42" s="2"/>
      <c r="G42" s="2"/>
      <c r="H42" s="86" t="e">
        <f>CONCATENATE("In general, I ",VLOOKUP(F43,Inputs!B:C,2,FALSE),", and usually")</f>
        <v>#N/A</v>
      </c>
      <c r="I42" s="87"/>
    </row>
    <row r="43" spans="1:9" s="1" customFormat="1" ht="50.1" customHeight="1" thickBot="1" x14ac:dyDescent="0.3">
      <c r="A43" s="29"/>
      <c r="B43" s="29"/>
      <c r="C43" s="29"/>
      <c r="D43" s="3"/>
      <c r="E43" s="3"/>
      <c r="F43" s="3" t="e">
        <f>MODE(F45:F52)</f>
        <v>#N/A</v>
      </c>
      <c r="G43" s="3" t="e">
        <f>ROUNDDOWN(AVERAGE(G45:G52),0)</f>
        <v>#N/A</v>
      </c>
      <c r="H43" s="82" t="e">
        <f>VLOOKUP(G43,Inputs!E:F,2,FALSE)</f>
        <v>#N/A</v>
      </c>
      <c r="I43" s="83"/>
    </row>
    <row r="44" spans="1:9" ht="31.5" thickTop="1" thickBot="1" x14ac:dyDescent="0.3">
      <c r="A44" s="8" t="s">
        <v>39</v>
      </c>
      <c r="B44" s="7" t="s">
        <v>33</v>
      </c>
      <c r="C44" s="27" t="s">
        <v>18</v>
      </c>
      <c r="D44" s="4"/>
      <c r="E44" s="4"/>
      <c r="F44" s="4" t="s">
        <v>15</v>
      </c>
      <c r="G44" s="4" t="s">
        <v>17</v>
      </c>
      <c r="H44" s="5" t="s">
        <v>19</v>
      </c>
      <c r="I44" s="6" t="s">
        <v>20</v>
      </c>
    </row>
    <row r="45" spans="1:9" ht="45.75" thickTop="1" x14ac:dyDescent="0.25">
      <c r="A45" s="30" t="str">
        <f>'IV. Mathematical Foundations'!A2</f>
        <v>A. Risk Management and Mathematics</v>
      </c>
      <c r="B45" s="34" t="s">
        <v>2</v>
      </c>
      <c r="C45" s="30" t="s">
        <v>120</v>
      </c>
      <c r="D45" s="36">
        <f>32-7</f>
        <v>25</v>
      </c>
      <c r="E45" s="36" t="e">
        <f t="shared" ref="E45:E52" si="9">(IF(H45="",0,D45))+(IF(I45="",0,D45))</f>
        <v>#N/A</v>
      </c>
      <c r="F45" s="36" t="e">
        <f>VLOOKUP('IV. Mathematical Foundations'!B2,Inputs!A:B,2,FALSE)</f>
        <v>#N/A</v>
      </c>
      <c r="G45" s="37" t="e">
        <f>VLOOKUP('IV. Mathematical Foundations'!C2,Inputs!D:E,2,FALSE)</f>
        <v>#N/A</v>
      </c>
      <c r="H45" s="41" t="e">
        <f t="shared" ref="H45:H52" si="10">IF(OR(F45&gt;3,G45&gt;3),C45,"")</f>
        <v>#N/A</v>
      </c>
      <c r="I45" s="42" t="e">
        <f t="shared" ref="I45:I52" si="11">IF(H45="",IF(OR(F45&gt;2,G45&gt;2),C45,""),"")</f>
        <v>#N/A</v>
      </c>
    </row>
    <row r="46" spans="1:9" ht="45" x14ac:dyDescent="0.25">
      <c r="A46" s="30" t="str">
        <f>'IV. Mathematical Foundations'!A3</f>
        <v>B. Algebraic Methods</v>
      </c>
      <c r="B46" s="35" t="s">
        <v>2</v>
      </c>
      <c r="C46" s="31" t="s">
        <v>120</v>
      </c>
      <c r="D46" s="36">
        <f>58-32</f>
        <v>26</v>
      </c>
      <c r="E46" s="36" t="e">
        <f t="shared" si="9"/>
        <v>#N/A</v>
      </c>
      <c r="F46" s="36" t="e">
        <f>VLOOKUP('IV. Mathematical Foundations'!B3,Inputs!A:B,2,FALSE)</f>
        <v>#N/A</v>
      </c>
      <c r="G46" s="37" t="e">
        <f>VLOOKUP('IV. Mathematical Foundations'!C3,Inputs!D:E,2,FALSE)</f>
        <v>#N/A</v>
      </c>
      <c r="H46" s="43" t="e">
        <f t="shared" si="10"/>
        <v>#N/A</v>
      </c>
      <c r="I46" s="44" t="e">
        <f t="shared" si="11"/>
        <v>#N/A</v>
      </c>
    </row>
    <row r="47" spans="1:9" ht="45" x14ac:dyDescent="0.25">
      <c r="A47" s="30" t="str">
        <f>'IV. Mathematical Foundations'!A4</f>
        <v>C. Calculus Methods Related to Risk Management</v>
      </c>
      <c r="B47" s="35" t="s">
        <v>64</v>
      </c>
      <c r="C47" s="31" t="s">
        <v>120</v>
      </c>
      <c r="D47" s="36">
        <f>106-58</f>
        <v>48</v>
      </c>
      <c r="E47" s="36" t="e">
        <f t="shared" si="9"/>
        <v>#N/A</v>
      </c>
      <c r="F47" s="36" t="e">
        <f>VLOOKUP('IV. Mathematical Foundations'!B4,Inputs!A:B,2,FALSE)</f>
        <v>#N/A</v>
      </c>
      <c r="G47" s="37" t="e">
        <f>VLOOKUP('IV. Mathematical Foundations'!C4,Inputs!D:E,2,FALSE)</f>
        <v>#N/A</v>
      </c>
      <c r="H47" s="43" t="e">
        <f t="shared" si="10"/>
        <v>#N/A</v>
      </c>
      <c r="I47" s="44" t="e">
        <f t="shared" si="11"/>
        <v>#N/A</v>
      </c>
    </row>
    <row r="48" spans="1:9" ht="45" x14ac:dyDescent="0.25">
      <c r="A48" s="30" t="str">
        <f>'IV. Mathematical Foundations'!A5</f>
        <v>D. Basic Statistics Related to Risk Management</v>
      </c>
      <c r="B48" s="35" t="s">
        <v>64</v>
      </c>
      <c r="C48" s="31" t="s">
        <v>120</v>
      </c>
      <c r="D48" s="36">
        <f>136-106</f>
        <v>30</v>
      </c>
      <c r="E48" s="36" t="e">
        <f t="shared" si="9"/>
        <v>#N/A</v>
      </c>
      <c r="F48" s="36" t="e">
        <f>VLOOKUP('IV. Mathematical Foundations'!B5,Inputs!A:B,2,FALSE)</f>
        <v>#N/A</v>
      </c>
      <c r="G48" s="37" t="e">
        <f>VLOOKUP('IV. Mathematical Foundations'!C5,Inputs!D:E,2,FALSE)</f>
        <v>#N/A</v>
      </c>
      <c r="H48" s="43" t="e">
        <f t="shared" si="10"/>
        <v>#N/A</v>
      </c>
      <c r="I48" s="44" t="e">
        <f t="shared" si="11"/>
        <v>#N/A</v>
      </c>
    </row>
    <row r="49" spans="1:9" ht="45" x14ac:dyDescent="0.25">
      <c r="A49" s="30" t="str">
        <f>'IV. Mathematical Foundations'!A6</f>
        <v>E. Numerical Methods</v>
      </c>
      <c r="B49" s="35" t="s">
        <v>64</v>
      </c>
      <c r="C49" s="31" t="s">
        <v>120</v>
      </c>
      <c r="D49" s="36">
        <f>179-136</f>
        <v>43</v>
      </c>
      <c r="E49" s="36" t="e">
        <f t="shared" si="9"/>
        <v>#N/A</v>
      </c>
      <c r="F49" s="36" t="e">
        <f>VLOOKUP('IV. Mathematical Foundations'!B6,Inputs!A:B,2,FALSE)</f>
        <v>#N/A</v>
      </c>
      <c r="G49" s="37" t="e">
        <f>VLOOKUP('IV. Mathematical Foundations'!C6,Inputs!D:E,2,FALSE)</f>
        <v>#N/A</v>
      </c>
      <c r="H49" s="43" t="e">
        <f t="shared" si="10"/>
        <v>#N/A</v>
      </c>
      <c r="I49" s="44" t="e">
        <f t="shared" si="11"/>
        <v>#N/A</v>
      </c>
    </row>
    <row r="50" spans="1:9" ht="45" x14ac:dyDescent="0.25">
      <c r="A50" s="30" t="str">
        <f>'IV. Mathematical Foundations'!A7</f>
        <v>F. Matrix Algebra</v>
      </c>
      <c r="B50" s="35" t="s">
        <v>64</v>
      </c>
      <c r="C50" s="31" t="s">
        <v>120</v>
      </c>
      <c r="D50" s="36">
        <f>223-179</f>
        <v>44</v>
      </c>
      <c r="E50" s="36" t="e">
        <f t="shared" si="9"/>
        <v>#N/A</v>
      </c>
      <c r="F50" s="36" t="e">
        <f>VLOOKUP('IV. Mathematical Foundations'!B7,Inputs!A:B,2,FALSE)</f>
        <v>#N/A</v>
      </c>
      <c r="G50" s="37" t="e">
        <f>VLOOKUP('IV. Mathematical Foundations'!C7,Inputs!D:E,2,FALSE)</f>
        <v>#N/A</v>
      </c>
      <c r="H50" s="43" t="e">
        <f t="shared" si="10"/>
        <v>#N/A</v>
      </c>
      <c r="I50" s="44" t="e">
        <f t="shared" si="11"/>
        <v>#N/A</v>
      </c>
    </row>
    <row r="51" spans="1:9" ht="45" x14ac:dyDescent="0.25">
      <c r="A51" s="30" t="str">
        <f>'IV. Mathematical Foundations'!A8</f>
        <v>G. Probability Theory in Finance</v>
      </c>
      <c r="B51" s="35" t="s">
        <v>2</v>
      </c>
      <c r="C51" s="31" t="s">
        <v>120</v>
      </c>
      <c r="D51" s="36">
        <f>279-223</f>
        <v>56</v>
      </c>
      <c r="E51" s="36" t="e">
        <f t="shared" si="9"/>
        <v>#N/A</v>
      </c>
      <c r="F51" s="36" t="e">
        <f>VLOOKUP('IV. Mathematical Foundations'!B8,Inputs!A:B,2,FALSE)</f>
        <v>#N/A</v>
      </c>
      <c r="G51" s="37" t="e">
        <f>VLOOKUP('IV. Mathematical Foundations'!C8,Inputs!D:E,2,FALSE)</f>
        <v>#N/A</v>
      </c>
      <c r="H51" s="43" t="e">
        <f t="shared" si="10"/>
        <v>#N/A</v>
      </c>
      <c r="I51" s="44" t="e">
        <f t="shared" si="11"/>
        <v>#N/A</v>
      </c>
    </row>
    <row r="52" spans="1:9" ht="45.75" thickBot="1" x14ac:dyDescent="0.3">
      <c r="A52" s="30" t="str">
        <f>'IV. Mathematical Foundations'!A9</f>
        <v>H. Regression Analysis in Finance</v>
      </c>
      <c r="B52" s="35" t="s">
        <v>2</v>
      </c>
      <c r="C52" s="31" t="s">
        <v>120</v>
      </c>
      <c r="D52" s="36">
        <f>313-279</f>
        <v>34</v>
      </c>
      <c r="E52" s="36" t="e">
        <f t="shared" si="9"/>
        <v>#N/A</v>
      </c>
      <c r="F52" s="36" t="e">
        <f>VLOOKUP('IV. Mathematical Foundations'!B9,Inputs!A:B,2,FALSE)</f>
        <v>#N/A</v>
      </c>
      <c r="G52" s="37" t="e">
        <f>VLOOKUP('IV. Mathematical Foundations'!C9,Inputs!D:E,2,FALSE)</f>
        <v>#N/A</v>
      </c>
      <c r="H52" s="45" t="e">
        <f t="shared" si="10"/>
        <v>#N/A</v>
      </c>
      <c r="I52" s="46" t="e">
        <f t="shared" si="11"/>
        <v>#N/A</v>
      </c>
    </row>
    <row r="53" spans="1:9" ht="15.75" thickBot="1" x14ac:dyDescent="0.3">
      <c r="A53" s="28"/>
      <c r="B53" s="28"/>
      <c r="C53" s="28"/>
      <c r="D53" s="2"/>
      <c r="E53" s="2"/>
      <c r="F53" s="2"/>
      <c r="G53" s="2"/>
      <c r="H53" s="2"/>
      <c r="I53" s="2"/>
    </row>
    <row r="54" spans="1:9" ht="50.1" customHeight="1" thickTop="1" x14ac:dyDescent="0.25">
      <c r="A54" s="28"/>
      <c r="B54" s="28"/>
      <c r="C54" s="28"/>
      <c r="D54" s="2"/>
      <c r="E54" s="2"/>
      <c r="F54" s="2"/>
      <c r="G54" s="2"/>
      <c r="H54" s="86" t="e">
        <f>CONCATENATE("In general, I ",VLOOKUP(F55,Inputs!B:C,2,FALSE),", and usually")</f>
        <v>#N/A</v>
      </c>
      <c r="I54" s="87"/>
    </row>
    <row r="55" spans="1:9" s="1" customFormat="1" ht="50.1" customHeight="1" thickBot="1" x14ac:dyDescent="0.3">
      <c r="A55" s="29"/>
      <c r="B55" s="29"/>
      <c r="C55" s="29"/>
      <c r="D55" s="3"/>
      <c r="E55" s="3"/>
      <c r="F55" s="3" t="e">
        <f>MODE(F57:F62)</f>
        <v>#N/A</v>
      </c>
      <c r="G55" s="3" t="e">
        <f>ROUNDDOWN(AVERAGE(G57:G62),0)</f>
        <v>#N/A</v>
      </c>
      <c r="H55" s="82" t="e">
        <f>VLOOKUP(G55,Inputs!E:F,2,FALSE)</f>
        <v>#N/A</v>
      </c>
      <c r="I55" s="83"/>
    </row>
    <row r="56" spans="1:9" ht="31.5" thickTop="1" thickBot="1" x14ac:dyDescent="0.3">
      <c r="A56" s="8" t="s">
        <v>40</v>
      </c>
      <c r="B56" s="7" t="s">
        <v>33</v>
      </c>
      <c r="C56" s="27" t="s">
        <v>18</v>
      </c>
      <c r="D56" s="4"/>
      <c r="E56" s="4"/>
      <c r="F56" s="4" t="s">
        <v>15</v>
      </c>
      <c r="G56" s="4" t="s">
        <v>17</v>
      </c>
      <c r="H56" s="5" t="s">
        <v>19</v>
      </c>
      <c r="I56" s="6" t="s">
        <v>20</v>
      </c>
    </row>
    <row r="57" spans="1:9" ht="75.75" thickTop="1" x14ac:dyDescent="0.25">
      <c r="A57" s="30" t="str">
        <f>'V. Risk Mgmt Frameworks-Op Risk'!A2</f>
        <v>A. Risk Governance</v>
      </c>
      <c r="B57" s="34" t="s">
        <v>64</v>
      </c>
      <c r="C57" s="30" t="s">
        <v>184</v>
      </c>
      <c r="D57" s="36">
        <f>65-23</f>
        <v>42</v>
      </c>
      <c r="E57" s="36" t="e">
        <f t="shared" ref="E57:E62" si="12">(IF(H57="",0,D57))+(IF(I57="",0,D57))</f>
        <v>#N/A</v>
      </c>
      <c r="F57" s="36" t="e">
        <f>VLOOKUP('V. Risk Mgmt Frameworks-Op Risk'!B2,Inputs!A:B,2,FALSE)</f>
        <v>#N/A</v>
      </c>
      <c r="G57" s="37" t="e">
        <f>VLOOKUP('V. Risk Mgmt Frameworks-Op Risk'!C2,Inputs!D:E,2,FALSE)</f>
        <v>#N/A</v>
      </c>
      <c r="H57" s="41" t="e">
        <f t="shared" ref="H57:H62" si="13">IF(OR(F57&gt;3,G57&gt;3),C57,"")</f>
        <v>#N/A</v>
      </c>
      <c r="I57" s="42" t="e">
        <f t="shared" ref="I57:I62" si="14">IF(H57="",IF(OR(F57&gt;2,G57&gt;2),C57,""),"")</f>
        <v>#N/A</v>
      </c>
    </row>
    <row r="58" spans="1:9" ht="75" x14ac:dyDescent="0.25">
      <c r="A58" s="30" t="str">
        <f>'V. Risk Mgmt Frameworks-Op Risk'!A3</f>
        <v>B. Risk Management Framework</v>
      </c>
      <c r="B58" s="35" t="s">
        <v>2</v>
      </c>
      <c r="C58" s="30" t="s">
        <v>184</v>
      </c>
      <c r="D58" s="36">
        <f>146-65</f>
        <v>81</v>
      </c>
      <c r="E58" s="36" t="e">
        <f t="shared" si="12"/>
        <v>#N/A</v>
      </c>
      <c r="F58" s="36" t="e">
        <f>VLOOKUP('V. Risk Mgmt Frameworks-Op Risk'!B3,Inputs!A:B,2,FALSE)</f>
        <v>#N/A</v>
      </c>
      <c r="G58" s="37" t="e">
        <f>VLOOKUP('V. Risk Mgmt Frameworks-Op Risk'!C3,Inputs!D:E,2,FALSE)</f>
        <v>#N/A</v>
      </c>
      <c r="H58" s="43" t="e">
        <f t="shared" si="13"/>
        <v>#N/A</v>
      </c>
      <c r="I58" s="44" t="e">
        <f t="shared" si="14"/>
        <v>#N/A</v>
      </c>
    </row>
    <row r="59" spans="1:9" ht="75" x14ac:dyDescent="0.25">
      <c r="A59" s="30" t="str">
        <f>'V. Risk Mgmt Frameworks-Op Risk'!A4</f>
        <v>C. Risk Assessment</v>
      </c>
      <c r="B59" s="35" t="s">
        <v>2</v>
      </c>
      <c r="C59" s="30" t="s">
        <v>184</v>
      </c>
      <c r="D59" s="36">
        <f>208-169</f>
        <v>39</v>
      </c>
      <c r="E59" s="36" t="e">
        <f t="shared" si="12"/>
        <v>#N/A</v>
      </c>
      <c r="F59" s="36" t="e">
        <f>VLOOKUP('V. Risk Mgmt Frameworks-Op Risk'!B4,Inputs!A:B,2,FALSE)</f>
        <v>#N/A</v>
      </c>
      <c r="G59" s="37" t="e">
        <f>VLOOKUP('V. Risk Mgmt Frameworks-Op Risk'!C4,Inputs!D:E,2,FALSE)</f>
        <v>#N/A</v>
      </c>
      <c r="H59" s="43" t="e">
        <f t="shared" si="13"/>
        <v>#N/A</v>
      </c>
      <c r="I59" s="44" t="e">
        <f t="shared" si="14"/>
        <v>#N/A</v>
      </c>
    </row>
    <row r="60" spans="1:9" ht="75" x14ac:dyDescent="0.25">
      <c r="A60" s="30" t="str">
        <f>'V. Risk Mgmt Frameworks-Op Risk'!A5</f>
        <v>D. Risk Information</v>
      </c>
      <c r="B60" s="35" t="s">
        <v>2</v>
      </c>
      <c r="C60" s="30" t="s">
        <v>184</v>
      </c>
      <c r="D60" s="36">
        <f>259-208</f>
        <v>51</v>
      </c>
      <c r="E60" s="36" t="e">
        <f t="shared" si="12"/>
        <v>#N/A</v>
      </c>
      <c r="F60" s="36" t="e">
        <f>VLOOKUP('V. Risk Mgmt Frameworks-Op Risk'!B5,Inputs!A:B,2,FALSE)</f>
        <v>#N/A</v>
      </c>
      <c r="G60" s="37" t="e">
        <f>VLOOKUP('V. Risk Mgmt Frameworks-Op Risk'!C5,Inputs!D:E,2,FALSE)</f>
        <v>#N/A</v>
      </c>
      <c r="H60" s="43" t="e">
        <f t="shared" si="13"/>
        <v>#N/A</v>
      </c>
      <c r="I60" s="44" t="e">
        <f t="shared" si="14"/>
        <v>#N/A</v>
      </c>
    </row>
    <row r="61" spans="1:9" ht="75" x14ac:dyDescent="0.25">
      <c r="A61" s="30" t="str">
        <f>'V. Risk Mgmt Frameworks-Op Risk'!A6</f>
        <v>E. Risk Capital and Operational Resilience</v>
      </c>
      <c r="B61" s="35" t="s">
        <v>64</v>
      </c>
      <c r="C61" s="30" t="s">
        <v>184</v>
      </c>
      <c r="D61" s="36">
        <v>40</v>
      </c>
      <c r="E61" s="36" t="e">
        <f t="shared" si="12"/>
        <v>#N/A</v>
      </c>
      <c r="F61" s="36" t="e">
        <f>VLOOKUP('V. Risk Mgmt Frameworks-Op Risk'!B6,Inputs!A:B,2,FALSE)</f>
        <v>#N/A</v>
      </c>
      <c r="G61" s="37" t="e">
        <f>VLOOKUP('V. Risk Mgmt Frameworks-Op Risk'!C6,Inputs!D:E,2,FALSE)</f>
        <v>#N/A</v>
      </c>
      <c r="H61" s="43" t="e">
        <f t="shared" si="13"/>
        <v>#N/A</v>
      </c>
      <c r="I61" s="44" t="e">
        <f t="shared" si="14"/>
        <v>#N/A</v>
      </c>
    </row>
    <row r="62" spans="1:9" ht="75.75" thickBot="1" x14ac:dyDescent="0.3">
      <c r="A62" s="30" t="str">
        <f>'V. Risk Mgmt Frameworks-Op Risk'!A7</f>
        <v>F. Compliance Risk Framework</v>
      </c>
      <c r="B62" s="35" t="s">
        <v>64</v>
      </c>
      <c r="C62" s="30" t="s">
        <v>184</v>
      </c>
      <c r="D62" s="36">
        <f>169-146</f>
        <v>23</v>
      </c>
      <c r="E62" s="36" t="e">
        <f t="shared" si="12"/>
        <v>#N/A</v>
      </c>
      <c r="F62" s="36" t="e">
        <f>VLOOKUP('V. Risk Mgmt Frameworks-Op Risk'!B7,Inputs!A:B,2,FALSE)</f>
        <v>#N/A</v>
      </c>
      <c r="G62" s="37" t="e">
        <f>VLOOKUP('V. Risk Mgmt Frameworks-Op Risk'!C7,Inputs!D:E,2,FALSE)</f>
        <v>#N/A</v>
      </c>
      <c r="H62" s="45" t="e">
        <f t="shared" si="13"/>
        <v>#N/A</v>
      </c>
      <c r="I62" s="46" t="e">
        <f t="shared" si="14"/>
        <v>#N/A</v>
      </c>
    </row>
    <row r="63" spans="1:9" ht="15.75" thickBot="1" x14ac:dyDescent="0.3">
      <c r="A63" s="28"/>
      <c r="B63" s="28"/>
      <c r="C63" s="28"/>
      <c r="D63" s="2"/>
      <c r="E63" s="2"/>
      <c r="F63" s="2"/>
      <c r="G63" s="2"/>
      <c r="H63" s="2"/>
      <c r="I63" s="2"/>
    </row>
    <row r="64" spans="1:9" ht="50.1" customHeight="1" thickTop="1" x14ac:dyDescent="0.25">
      <c r="A64" s="28"/>
      <c r="B64" s="28"/>
      <c r="C64" s="28"/>
      <c r="D64" s="2"/>
      <c r="E64" s="2"/>
      <c r="F64" s="2"/>
      <c r="G64" s="2"/>
      <c r="H64" s="86" t="e">
        <f>CONCATENATE("In general, I ",VLOOKUP(F65,Inputs!B:C,2,FALSE),", and usually")</f>
        <v>#N/A</v>
      </c>
      <c r="I64" s="87"/>
    </row>
    <row r="65" spans="1:9" s="1" customFormat="1" ht="50.1" customHeight="1" thickBot="1" x14ac:dyDescent="0.3">
      <c r="A65" s="29"/>
      <c r="B65" s="29"/>
      <c r="C65" s="29"/>
      <c r="D65" s="3"/>
      <c r="E65" s="3"/>
      <c r="F65" s="3" t="e">
        <f>MODE(F67:F73)</f>
        <v>#N/A</v>
      </c>
      <c r="G65" s="3" t="e">
        <f>ROUNDDOWN(AVERAGE(G67:G73),0)</f>
        <v>#N/A</v>
      </c>
      <c r="H65" s="82" t="e">
        <f>VLOOKUP(G65,Inputs!E:F,2,FALSE)</f>
        <v>#N/A</v>
      </c>
      <c r="I65" s="83"/>
    </row>
    <row r="66" spans="1:9" ht="31.5" thickTop="1" thickBot="1" x14ac:dyDescent="0.3">
      <c r="A66" s="8" t="s">
        <v>41</v>
      </c>
      <c r="B66" s="7" t="s">
        <v>33</v>
      </c>
      <c r="C66" s="27" t="s">
        <v>18</v>
      </c>
      <c r="D66" s="4"/>
      <c r="E66" s="4"/>
      <c r="F66" s="4" t="s">
        <v>15</v>
      </c>
      <c r="G66" s="4" t="s">
        <v>17</v>
      </c>
      <c r="H66" s="5" t="s">
        <v>19</v>
      </c>
      <c r="I66" s="6" t="s">
        <v>20</v>
      </c>
    </row>
    <row r="67" spans="1:9" ht="45.75" thickTop="1" x14ac:dyDescent="0.25">
      <c r="A67" s="30" t="str">
        <f>'VI. Credit and Counterparty'!A2</f>
        <v>A. Classic Credit Life Cycle</v>
      </c>
      <c r="B67" s="34" t="s">
        <v>0</v>
      </c>
      <c r="C67" s="30" t="s">
        <v>121</v>
      </c>
      <c r="D67" s="36">
        <f>70-47</f>
        <v>23</v>
      </c>
      <c r="E67" s="36" t="e">
        <f t="shared" ref="E67:E73" si="15">(IF(H67="",0,D67))+(IF(I67="",0,D67))</f>
        <v>#N/A</v>
      </c>
      <c r="F67" s="36" t="e">
        <f>VLOOKUP('VI. Credit and Counterparty'!B2,Inputs!A:B,2,FALSE)</f>
        <v>#N/A</v>
      </c>
      <c r="G67" s="37" t="e">
        <f>VLOOKUP('VI. Credit and Counterparty'!C2,Inputs!D:E,2,FALSE)</f>
        <v>#N/A</v>
      </c>
      <c r="H67" s="41" t="e">
        <f t="shared" ref="H67:H73" si="16">IF(OR(F67&gt;3,G67&gt;3),C67,"")</f>
        <v>#N/A</v>
      </c>
      <c r="I67" s="42" t="e">
        <f t="shared" ref="I67:I73" si="17">IF(H67="",IF(OR(F67&gt;2,G67&gt;2),C67,""),"")</f>
        <v>#N/A</v>
      </c>
    </row>
    <row r="68" spans="1:9" ht="45" x14ac:dyDescent="0.25">
      <c r="A68" s="30" t="str">
        <f>'VI. Credit and Counterparty'!A3</f>
        <v>B. Classic Credit Products</v>
      </c>
      <c r="B68" s="35" t="s">
        <v>1</v>
      </c>
      <c r="C68" s="31" t="s">
        <v>121</v>
      </c>
      <c r="D68" s="36">
        <f>47-11</f>
        <v>36</v>
      </c>
      <c r="E68" s="36" t="e">
        <f t="shared" si="15"/>
        <v>#N/A</v>
      </c>
      <c r="F68" s="36" t="e">
        <f>VLOOKUP('VI. Credit and Counterparty'!B3,Inputs!A:B,2,FALSE)</f>
        <v>#N/A</v>
      </c>
      <c r="G68" s="37" t="e">
        <f>VLOOKUP('VI. Credit and Counterparty'!C3,Inputs!D:E,2,FALSE)</f>
        <v>#N/A</v>
      </c>
      <c r="H68" s="43" t="e">
        <f t="shared" si="16"/>
        <v>#N/A</v>
      </c>
      <c r="I68" s="44" t="e">
        <f t="shared" si="17"/>
        <v>#N/A</v>
      </c>
    </row>
    <row r="69" spans="1:9" ht="45" x14ac:dyDescent="0.25">
      <c r="A69" s="30" t="str">
        <f>'VI. Credit and Counterparty'!A4</f>
        <v>C. Classic Credit Risk Methodology</v>
      </c>
      <c r="B69" s="35" t="s">
        <v>1</v>
      </c>
      <c r="C69" s="31" t="s">
        <v>121</v>
      </c>
      <c r="D69" s="36">
        <f>118-70</f>
        <v>48</v>
      </c>
      <c r="E69" s="36" t="e">
        <f t="shared" si="15"/>
        <v>#N/A</v>
      </c>
      <c r="F69" s="36" t="e">
        <f>VLOOKUP('VI. Credit and Counterparty'!B4,Inputs!A:B,2,FALSE)</f>
        <v>#N/A</v>
      </c>
      <c r="G69" s="37" t="e">
        <f>VLOOKUP('VI. Credit and Counterparty'!C4,Inputs!D:E,2,FALSE)</f>
        <v>#N/A</v>
      </c>
      <c r="H69" s="43" t="e">
        <f t="shared" si="16"/>
        <v>#N/A</v>
      </c>
      <c r="I69" s="44" t="e">
        <f t="shared" si="17"/>
        <v>#N/A</v>
      </c>
    </row>
    <row r="70" spans="1:9" ht="45" x14ac:dyDescent="0.25">
      <c r="A70" s="30" t="str">
        <f>'VI. Credit and Counterparty'!A5</f>
        <v>D. Counterparty Risk</v>
      </c>
      <c r="B70" s="35" t="s">
        <v>64</v>
      </c>
      <c r="C70" s="31" t="s">
        <v>121</v>
      </c>
      <c r="D70" s="36">
        <v>45</v>
      </c>
      <c r="E70" s="36" t="e">
        <f t="shared" si="15"/>
        <v>#N/A</v>
      </c>
      <c r="F70" s="36" t="e">
        <f>VLOOKUP('VI. Credit and Counterparty'!B5,Inputs!A:B,2,FALSE)</f>
        <v>#N/A</v>
      </c>
      <c r="G70" s="37" t="e">
        <f>VLOOKUP('VI. Credit and Counterparty'!C5,Inputs!D:E,2,FALSE)</f>
        <v>#N/A</v>
      </c>
      <c r="H70" s="43" t="e">
        <f t="shared" si="16"/>
        <v>#N/A</v>
      </c>
      <c r="I70" s="44" t="e">
        <f t="shared" si="17"/>
        <v>#N/A</v>
      </c>
    </row>
    <row r="71" spans="1:9" ht="45" x14ac:dyDescent="0.25">
      <c r="A71" s="30" t="str">
        <f>'VI. Credit and Counterparty'!A6</f>
        <v>E. Credit Derivatives and Securitization</v>
      </c>
      <c r="B71" s="35" t="s">
        <v>1</v>
      </c>
      <c r="C71" s="31" t="s">
        <v>121</v>
      </c>
      <c r="D71" s="36">
        <f>166-118</f>
        <v>48</v>
      </c>
      <c r="E71" s="36" t="e">
        <f t="shared" si="15"/>
        <v>#N/A</v>
      </c>
      <c r="F71" s="36" t="e">
        <f>VLOOKUP('VI. Credit and Counterparty'!B6,Inputs!A:B,2,FALSE)</f>
        <v>#N/A</v>
      </c>
      <c r="G71" s="37" t="e">
        <f>VLOOKUP('VI. Credit and Counterparty'!C6,Inputs!D:E,2,FALSE)</f>
        <v>#N/A</v>
      </c>
      <c r="H71" s="43" t="e">
        <f t="shared" si="16"/>
        <v>#N/A</v>
      </c>
      <c r="I71" s="44" t="e">
        <f t="shared" si="17"/>
        <v>#N/A</v>
      </c>
    </row>
    <row r="72" spans="1:9" ht="45" x14ac:dyDescent="0.25">
      <c r="A72" s="30" t="str">
        <f>'VI. Credit and Counterparty'!A7</f>
        <v>F. Credit Portfolio Management</v>
      </c>
      <c r="B72" s="35" t="s">
        <v>2</v>
      </c>
      <c r="C72" s="31" t="s">
        <v>121</v>
      </c>
      <c r="D72" s="36">
        <v>46</v>
      </c>
      <c r="E72" s="36" t="e">
        <f t="shared" si="15"/>
        <v>#N/A</v>
      </c>
      <c r="F72" s="36" t="e">
        <f>VLOOKUP('VI. Credit and Counterparty'!B7,Inputs!A:B,2,FALSE)</f>
        <v>#N/A</v>
      </c>
      <c r="G72" s="37" t="e">
        <f>VLOOKUP('VI. Credit and Counterparty'!C7,Inputs!D:E,2,FALSE)</f>
        <v>#N/A</v>
      </c>
      <c r="H72" s="43" t="e">
        <f t="shared" si="16"/>
        <v>#N/A</v>
      </c>
      <c r="I72" s="44" t="e">
        <f t="shared" si="17"/>
        <v>#N/A</v>
      </c>
    </row>
    <row r="73" spans="1:9" ht="45" x14ac:dyDescent="0.25">
      <c r="A73" s="30" t="str">
        <f>'VI. Credit and Counterparty'!A8</f>
        <v>G. Valuation Adjustments (XVA)</v>
      </c>
      <c r="B73" s="35" t="s">
        <v>64</v>
      </c>
      <c r="C73" s="31" t="s">
        <v>121</v>
      </c>
      <c r="D73" s="36">
        <v>55</v>
      </c>
      <c r="E73" s="36" t="e">
        <f t="shared" si="15"/>
        <v>#N/A</v>
      </c>
      <c r="F73" s="36" t="e">
        <f>VLOOKUP('VI. Credit and Counterparty'!B8,Inputs!A:B,2,FALSE)</f>
        <v>#N/A</v>
      </c>
      <c r="G73" s="37" t="e">
        <f>VLOOKUP('VI. Credit and Counterparty'!C8,Inputs!D:E,2,FALSE)</f>
        <v>#N/A</v>
      </c>
      <c r="H73" s="43" t="e">
        <f t="shared" si="16"/>
        <v>#N/A</v>
      </c>
      <c r="I73" s="44" t="e">
        <f t="shared" si="17"/>
        <v>#N/A</v>
      </c>
    </row>
    <row r="74" spans="1:9" ht="15.75" thickBot="1" x14ac:dyDescent="0.3">
      <c r="A74" s="28"/>
      <c r="B74" s="28"/>
      <c r="C74" s="28"/>
      <c r="D74" s="2"/>
      <c r="E74" s="2"/>
      <c r="F74" s="2"/>
      <c r="G74" s="2"/>
      <c r="H74" s="2"/>
      <c r="I74" s="2"/>
    </row>
    <row r="75" spans="1:9" ht="50.1" customHeight="1" thickTop="1" x14ac:dyDescent="0.25">
      <c r="A75" s="28"/>
      <c r="B75" s="28"/>
      <c r="C75" s="28"/>
      <c r="D75" s="2"/>
      <c r="E75" s="2"/>
      <c r="F75" s="2"/>
      <c r="G75" s="2"/>
      <c r="H75" s="86" t="e">
        <f>CONCATENATE("In general, I ",VLOOKUP(F76,Inputs!B:C,2,FALSE),", and usually")</f>
        <v>#N/A</v>
      </c>
      <c r="I75" s="87"/>
    </row>
    <row r="76" spans="1:9" s="1" customFormat="1" ht="50.1" customHeight="1" thickBot="1" x14ac:dyDescent="0.3">
      <c r="A76" s="29"/>
      <c r="B76" s="29"/>
      <c r="C76" s="29"/>
      <c r="D76" s="3"/>
      <c r="E76" s="3"/>
      <c r="F76" s="3" t="e">
        <f>MODE(F78:F85)</f>
        <v>#N/A</v>
      </c>
      <c r="G76" s="3" t="e">
        <f>ROUNDDOWN(AVERAGE(G78:G85),0)</f>
        <v>#N/A</v>
      </c>
      <c r="H76" s="82" t="e">
        <f>VLOOKUP(G76,Inputs!E:F,2,FALSE)</f>
        <v>#N/A</v>
      </c>
      <c r="I76" s="83"/>
    </row>
    <row r="77" spans="1:9" ht="46.5" thickTop="1" thickBot="1" x14ac:dyDescent="0.3">
      <c r="A77" s="8" t="s">
        <v>42</v>
      </c>
      <c r="B77" s="7" t="s">
        <v>33</v>
      </c>
      <c r="C77" s="27" t="s">
        <v>18</v>
      </c>
      <c r="D77" s="4"/>
      <c r="E77" s="4"/>
      <c r="F77" s="4" t="s">
        <v>15</v>
      </c>
      <c r="G77" s="4" t="s">
        <v>17</v>
      </c>
      <c r="H77" s="5" t="s">
        <v>19</v>
      </c>
      <c r="I77" s="6" t="s">
        <v>20</v>
      </c>
    </row>
    <row r="78" spans="1:9" ht="30.75" thickTop="1" x14ac:dyDescent="0.25">
      <c r="A78" s="30" t="str">
        <f>'VII. Market, Asset Liab Mgmt, F'!A2</f>
        <v>A. Asset Liability Management</v>
      </c>
      <c r="B78" s="34" t="s">
        <v>2</v>
      </c>
      <c r="C78" s="30" t="s">
        <v>122</v>
      </c>
      <c r="D78" s="36">
        <f>(25-15)+(268-246)+(348-308)</f>
        <v>72</v>
      </c>
      <c r="E78" s="36" t="e">
        <f t="shared" ref="E78:E85" si="18">(IF(H78="",0,D78))+(IF(I78="",0,D78))</f>
        <v>#N/A</v>
      </c>
      <c r="F78" s="36" t="e">
        <f>VLOOKUP('VII. Market, Asset Liab Mgmt, F'!B2,Inputs!A:B,2,FALSE)</f>
        <v>#N/A</v>
      </c>
      <c r="G78" s="37" t="e">
        <f>VLOOKUP('VII. Market, Asset Liab Mgmt, F'!C2,Inputs!D:E,2,FALSE)</f>
        <v>#N/A</v>
      </c>
      <c r="H78" s="41" t="e">
        <f t="shared" ref="H78:H85" si="19">IF(OR(F78&gt;3,G78&gt;3),C78,"")</f>
        <v>#N/A</v>
      </c>
      <c r="I78" s="42" t="e">
        <f t="shared" ref="I78:I85" si="20">IF(H78="",IF(OR(F78&gt;2,G78&gt;2),C78,""),"")</f>
        <v>#N/A</v>
      </c>
    </row>
    <row r="79" spans="1:9" ht="30" x14ac:dyDescent="0.25">
      <c r="A79" s="30" t="str">
        <f>'VII. Market, Asset Liab Mgmt, F'!A3</f>
        <v>B. Liquidity Risk</v>
      </c>
      <c r="B79" s="35" t="s">
        <v>1</v>
      </c>
      <c r="C79" s="31" t="s">
        <v>122</v>
      </c>
      <c r="D79" s="36">
        <f>(59-25)+(256-246)+(308-288)</f>
        <v>64</v>
      </c>
      <c r="E79" s="36" t="e">
        <f t="shared" si="18"/>
        <v>#N/A</v>
      </c>
      <c r="F79" s="36" t="e">
        <f>VLOOKUP('VII. Market, Asset Liab Mgmt, F'!B3,Inputs!A:B,2,FALSE)</f>
        <v>#N/A</v>
      </c>
      <c r="G79" s="37" t="e">
        <f>VLOOKUP('VII. Market, Asset Liab Mgmt, F'!C3,Inputs!D:E,2,FALSE)</f>
        <v>#N/A</v>
      </c>
      <c r="H79" s="43" t="e">
        <f t="shared" si="19"/>
        <v>#N/A</v>
      </c>
      <c r="I79" s="44" t="e">
        <f t="shared" si="20"/>
        <v>#N/A</v>
      </c>
    </row>
    <row r="80" spans="1:9" ht="30" x14ac:dyDescent="0.25">
      <c r="A80" s="30" t="str">
        <f>'VII. Market, Asset Liab Mgmt, F'!A4</f>
        <v>C. Interest Rate Risk</v>
      </c>
      <c r="B80" s="35" t="s">
        <v>1</v>
      </c>
      <c r="C80" s="31" t="s">
        <v>122</v>
      </c>
      <c r="D80" s="36">
        <f>288-268</f>
        <v>20</v>
      </c>
      <c r="E80" s="36" t="e">
        <f t="shared" si="18"/>
        <v>#N/A</v>
      </c>
      <c r="F80" s="36" t="e">
        <f>VLOOKUP('VII. Market, Asset Liab Mgmt, F'!B5,Inputs!A:B,2,FALSE)</f>
        <v>#N/A</v>
      </c>
      <c r="G80" s="37" t="e">
        <f>VLOOKUP('VII. Market, Asset Liab Mgmt, F'!C5,Inputs!D:E,2,FALSE)</f>
        <v>#N/A</v>
      </c>
      <c r="H80" s="43" t="e">
        <f t="shared" si="19"/>
        <v>#N/A</v>
      </c>
      <c r="I80" s="44" t="e">
        <f t="shared" si="20"/>
        <v>#N/A</v>
      </c>
    </row>
    <row r="81" spans="1:9" ht="30" x14ac:dyDescent="0.25">
      <c r="A81" s="30" t="str">
        <f>'VII. Market, Asset Liab Mgmt, F'!A5</f>
        <v>D. Market Risk Management and Stress Testing</v>
      </c>
      <c r="B81" s="35" t="s">
        <v>2</v>
      </c>
      <c r="C81" s="31" t="s">
        <v>122</v>
      </c>
      <c r="D81" s="36">
        <f>288-268</f>
        <v>20</v>
      </c>
      <c r="E81" s="36" t="e">
        <f t="shared" si="18"/>
        <v>#N/A</v>
      </c>
      <c r="F81" s="36" t="e">
        <f>VLOOKUP('VII. Market, Asset Liab Mgmt, F'!B6,Inputs!A:B,2,FALSE)</f>
        <v>#N/A</v>
      </c>
      <c r="G81" s="37" t="e">
        <f>VLOOKUP('VII. Market, Asset Liab Mgmt, F'!C6,Inputs!D:E,2,FALSE)</f>
        <v>#N/A</v>
      </c>
      <c r="H81" s="43" t="e">
        <f t="shared" si="19"/>
        <v>#N/A</v>
      </c>
      <c r="I81" s="44" t="e">
        <f t="shared" si="20"/>
        <v>#N/A</v>
      </c>
    </row>
    <row r="82" spans="1:9" ht="30" x14ac:dyDescent="0.25">
      <c r="A82" s="30" t="str">
        <f>'VII. Market, Asset Liab Mgmt, F'!A6</f>
        <v>E. Market Risk Monitoring</v>
      </c>
      <c r="B82" s="35" t="s">
        <v>2</v>
      </c>
      <c r="C82" s="31" t="s">
        <v>122</v>
      </c>
      <c r="D82" s="36">
        <f>288-268</f>
        <v>20</v>
      </c>
      <c r="E82" s="36" t="e">
        <f t="shared" si="18"/>
        <v>#N/A</v>
      </c>
      <c r="F82" s="36" t="e">
        <f>VLOOKUP('VII. Market, Asset Liab Mgmt, F'!B7,Inputs!A:B,2,FALSE)</f>
        <v>#N/A</v>
      </c>
      <c r="G82" s="37" t="e">
        <f>VLOOKUP('VII. Market, Asset Liab Mgmt, F'!C7,Inputs!D:E,2,FALSE)</f>
        <v>#N/A</v>
      </c>
      <c r="H82" s="43" t="e">
        <f t="shared" si="19"/>
        <v>#N/A</v>
      </c>
      <c r="I82" s="44" t="e">
        <f t="shared" si="20"/>
        <v>#N/A</v>
      </c>
    </row>
    <row r="83" spans="1:9" ht="30" x14ac:dyDescent="0.25">
      <c r="A83" s="30" t="str">
        <f>'VII. Market, Asset Liab Mgmt, F'!A7</f>
        <v>F. Commodities Market Risk Management</v>
      </c>
      <c r="B83" s="35" t="s">
        <v>2</v>
      </c>
      <c r="C83" s="31" t="s">
        <v>122</v>
      </c>
      <c r="D83" s="36">
        <f>(59-25)+(246-180)</f>
        <v>100</v>
      </c>
      <c r="E83" s="36" t="e">
        <f t="shared" si="18"/>
        <v>#N/A</v>
      </c>
      <c r="F83" s="36" t="e">
        <f>VLOOKUP('VII. Market, Asset Liab Mgmt, F'!B8,Inputs!A:B,2,FALSE)</f>
        <v>#N/A</v>
      </c>
      <c r="G83" s="37" t="e">
        <f>VLOOKUP('VII. Market, Asset Liab Mgmt, F'!C8,Inputs!D:E,2,FALSE)</f>
        <v>#N/A</v>
      </c>
      <c r="H83" s="43" t="e">
        <f t="shared" si="19"/>
        <v>#N/A</v>
      </c>
      <c r="I83" s="44" t="e">
        <f t="shared" si="20"/>
        <v>#N/A</v>
      </c>
    </row>
    <row r="84" spans="1:9" ht="30" x14ac:dyDescent="0.25">
      <c r="A84" s="30" t="str">
        <f>'VII. Market, Asset Liab Mgmt, F'!A8</f>
        <v>G. Balance Sheet Management</v>
      </c>
      <c r="B84" s="35" t="s">
        <v>2</v>
      </c>
      <c r="C84" s="31" t="s">
        <v>122</v>
      </c>
      <c r="D84" s="36">
        <f>(59-25)+(246-180)</f>
        <v>100</v>
      </c>
      <c r="E84" s="36" t="e">
        <f t="shared" si="18"/>
        <v>#N/A</v>
      </c>
      <c r="F84" s="36" t="e">
        <f>VLOOKUP('VII. Market, Asset Liab Mgmt, F'!B9,Inputs!A:B,2,FALSE)</f>
        <v>#N/A</v>
      </c>
      <c r="G84" s="37" t="e">
        <f>VLOOKUP('VII. Market, Asset Liab Mgmt, F'!C9,Inputs!D:E,2,FALSE)</f>
        <v>#N/A</v>
      </c>
      <c r="H84" s="43" t="e">
        <f t="shared" si="19"/>
        <v>#N/A</v>
      </c>
      <c r="I84" s="44" t="e">
        <f t="shared" si="20"/>
        <v>#N/A</v>
      </c>
    </row>
    <row r="85" spans="1:9" ht="30.75" thickBot="1" x14ac:dyDescent="0.3">
      <c r="A85" s="30" t="str">
        <f>'VII. Market, Asset Liab Mgmt, F'!A9</f>
        <v>H. Bank Funds Transfer Pricing (FTP)</v>
      </c>
      <c r="B85" s="35" t="s">
        <v>64</v>
      </c>
      <c r="C85" s="31" t="s">
        <v>122</v>
      </c>
      <c r="D85" s="36">
        <f>126-59</f>
        <v>67</v>
      </c>
      <c r="E85" s="36" t="e">
        <f t="shared" si="18"/>
        <v>#N/A</v>
      </c>
      <c r="F85" s="36" t="e">
        <f>VLOOKUP('VII. Market, Asset Liab Mgmt, F'!B9,Inputs!A:B,2,FALSE)</f>
        <v>#N/A</v>
      </c>
      <c r="G85" s="37" t="e">
        <f>VLOOKUP('VII. Market, Asset Liab Mgmt, F'!C9,Inputs!D:E,2,FALSE)</f>
        <v>#N/A</v>
      </c>
      <c r="H85" s="45" t="e">
        <f t="shared" si="19"/>
        <v>#N/A</v>
      </c>
      <c r="I85" s="46" t="e">
        <f t="shared" si="20"/>
        <v>#N/A</v>
      </c>
    </row>
    <row r="86" spans="1:9" ht="15.75" thickBot="1" x14ac:dyDescent="0.3">
      <c r="A86" s="28"/>
      <c r="B86" s="28"/>
      <c r="C86" s="28"/>
      <c r="D86" s="2"/>
      <c r="E86" s="2"/>
      <c r="F86" s="2"/>
      <c r="G86" s="2"/>
      <c r="H86" s="2"/>
      <c r="I86" s="2"/>
    </row>
    <row r="87" spans="1:9" ht="50.1" customHeight="1" thickTop="1" x14ac:dyDescent="0.25">
      <c r="A87" s="28"/>
      <c r="B87" s="28"/>
      <c r="C87" s="28"/>
      <c r="D87" s="2"/>
      <c r="E87" s="2"/>
      <c r="F87" s="2"/>
      <c r="G87" s="2"/>
      <c r="H87" s="86" t="e">
        <f>CONCATENATE("In general, I ",VLOOKUP(F88,Inputs!B:C,2,FALSE),", and usually")</f>
        <v>#N/A</v>
      </c>
      <c r="I87" s="87"/>
    </row>
    <row r="88" spans="1:9" s="1" customFormat="1" ht="50.1" customHeight="1" thickBot="1" x14ac:dyDescent="0.3">
      <c r="A88" s="29"/>
      <c r="B88" s="29"/>
      <c r="C88" s="29"/>
      <c r="D88" s="3"/>
      <c r="E88" s="3"/>
      <c r="F88" s="3" t="e">
        <f>ROUNDDOWN(AVERAGE(F90:F91),0)</f>
        <v>#N/A</v>
      </c>
      <c r="G88" s="3" t="e">
        <f>ROUNDDOWN(AVERAGE(G90:G91),0)</f>
        <v>#N/A</v>
      </c>
      <c r="H88" s="82" t="e">
        <f>VLOOKUP(G88,Inputs!E:F,2,FALSE)</f>
        <v>#N/A</v>
      </c>
      <c r="I88" s="83"/>
    </row>
    <row r="89" spans="1:9" ht="31.5" thickTop="1" thickBot="1" x14ac:dyDescent="0.3">
      <c r="A89" s="8" t="s">
        <v>43</v>
      </c>
      <c r="B89" s="7" t="s">
        <v>33</v>
      </c>
      <c r="C89" s="27" t="s">
        <v>18</v>
      </c>
      <c r="D89" s="4"/>
      <c r="E89" s="4"/>
      <c r="F89" s="4" t="s">
        <v>15</v>
      </c>
      <c r="G89" s="4" t="s">
        <v>17</v>
      </c>
      <c r="H89" s="5" t="s">
        <v>19</v>
      </c>
      <c r="I89" s="6" t="s">
        <v>20</v>
      </c>
    </row>
    <row r="90" spans="1:9" ht="45.75" thickTop="1" x14ac:dyDescent="0.25">
      <c r="A90" s="30" t="s">
        <v>34</v>
      </c>
      <c r="B90" s="34" t="s">
        <v>64</v>
      </c>
      <c r="C90" s="30" t="s">
        <v>63</v>
      </c>
      <c r="D90" s="36">
        <f>43-23</f>
        <v>20</v>
      </c>
      <c r="E90" s="36" t="e">
        <f t="shared" ref="E90:E91" si="21">(IF(H90="",0,D90))+(IF(I90="",0,D90))</f>
        <v>#N/A</v>
      </c>
      <c r="F90" s="36" t="e">
        <f>VLOOKUP('VIII. PRMIA Case Studies'!B2,Inputs!A:B,2,FALSE)</f>
        <v>#N/A</v>
      </c>
      <c r="G90" s="37" t="e">
        <f>VLOOKUP('VIII. PRMIA Case Studies'!C2,Inputs!D:E,2,FALSE)</f>
        <v>#N/A</v>
      </c>
      <c r="H90" s="41" t="e">
        <f>IF(OR(F90&gt;3,G90&gt;3),C90,"")</f>
        <v>#N/A</v>
      </c>
      <c r="I90" s="42" t="e">
        <f>IF(H90="",IF(OR(F90&gt;2,G90&gt;2),C90,""),"")</f>
        <v>#N/A</v>
      </c>
    </row>
    <row r="91" spans="1:9" ht="60.75" thickBot="1" x14ac:dyDescent="0.3">
      <c r="A91" s="31" t="s">
        <v>35</v>
      </c>
      <c r="B91" s="35" t="s">
        <v>64</v>
      </c>
      <c r="C91" s="38" t="s">
        <v>185</v>
      </c>
      <c r="D91" s="36">
        <v>100</v>
      </c>
      <c r="E91" s="36" t="e">
        <f t="shared" si="21"/>
        <v>#N/A</v>
      </c>
      <c r="F91" s="36" t="e">
        <f>'VIII. PRMIA Case Studies'!D3</f>
        <v>#N/A</v>
      </c>
      <c r="G91" s="37" t="e">
        <f>'VIII. PRMIA Case Studies'!E3</f>
        <v>#N/A</v>
      </c>
      <c r="H91" s="45" t="e">
        <f>IF(OR(F91&gt;3,G91&gt;3),C91,"")</f>
        <v>#N/A</v>
      </c>
      <c r="I91" s="46" t="e">
        <f>IF(H91="",IF(OR(F91&gt;2,G91&gt;2),C91,""),"")</f>
        <v>#N/A</v>
      </c>
    </row>
    <row r="92" spans="1:9" ht="15.75" thickBot="1" x14ac:dyDescent="0.3">
      <c r="A92" s="28"/>
      <c r="B92" s="28"/>
      <c r="C92" s="28"/>
      <c r="D92" s="2"/>
      <c r="E92" s="2"/>
      <c r="F92" s="2"/>
      <c r="G92" s="2"/>
      <c r="H92" s="2"/>
      <c r="I92" s="2"/>
    </row>
    <row r="93" spans="1:9" ht="50.1" customHeight="1" thickTop="1" x14ac:dyDescent="0.25">
      <c r="A93" s="28"/>
      <c r="B93" s="28"/>
      <c r="C93" s="28"/>
      <c r="D93" s="2"/>
      <c r="E93" s="2"/>
      <c r="F93" s="2"/>
      <c r="G93" s="2"/>
      <c r="H93" s="86" t="e">
        <f>CONCATENATE("In general, I ",VLOOKUP(F94,Inputs!B:C,2,FALSE),", and usually")</f>
        <v>#N/A</v>
      </c>
      <c r="I93" s="87"/>
    </row>
    <row r="94" spans="1:9" s="1" customFormat="1" ht="50.1" customHeight="1" thickBot="1" x14ac:dyDescent="0.3">
      <c r="A94" s="29"/>
      <c r="B94" s="29"/>
      <c r="C94" s="29"/>
      <c r="D94" s="3"/>
      <c r="E94" s="3"/>
      <c r="F94" s="3" t="e">
        <f>MODE(F96:F98)</f>
        <v>#N/A</v>
      </c>
      <c r="G94" s="3" t="e">
        <f>ROUNDDOWN(AVERAGE(G96:G98),0)</f>
        <v>#N/A</v>
      </c>
      <c r="H94" s="82" t="e">
        <f>VLOOKUP(G94,Inputs!E:F,2,FALSE)</f>
        <v>#N/A</v>
      </c>
      <c r="I94" s="83"/>
    </row>
    <row r="95" spans="1:9" ht="31.5" thickTop="1" thickBot="1" x14ac:dyDescent="0.3">
      <c r="A95" s="8" t="s">
        <v>44</v>
      </c>
      <c r="B95" s="7" t="s">
        <v>33</v>
      </c>
      <c r="C95" s="27" t="s">
        <v>18</v>
      </c>
      <c r="D95" s="4"/>
      <c r="E95" s="4"/>
      <c r="F95" s="4" t="s">
        <v>15</v>
      </c>
      <c r="G95" s="4" t="s">
        <v>17</v>
      </c>
      <c r="H95" s="5" t="s">
        <v>19</v>
      </c>
      <c r="I95" s="6" t="s">
        <v>20</v>
      </c>
    </row>
    <row r="96" spans="1:9" ht="60.75" thickTop="1" x14ac:dyDescent="0.25">
      <c r="A96" s="30" t="s">
        <v>36</v>
      </c>
      <c r="B96" s="34" t="s">
        <v>0</v>
      </c>
      <c r="C96" s="38" t="s">
        <v>185</v>
      </c>
      <c r="D96" s="36">
        <v>19</v>
      </c>
      <c r="E96" s="36" t="e">
        <f>(IF(H96="",0,D96))+(IF(I96="",0,D96))</f>
        <v>#N/A</v>
      </c>
      <c r="F96" s="36" t="e">
        <f>VLOOKUP('IX. PRMIA Standards'!B2,Inputs!A:B,2,FALSE)</f>
        <v>#N/A</v>
      </c>
      <c r="G96" s="37" t="e">
        <f>VLOOKUP('IX. PRMIA Standards'!C2,Inputs!D:E,2,FALSE)</f>
        <v>#N/A</v>
      </c>
      <c r="H96" s="41" t="e">
        <f>IF(OR(F96&gt;3,G96&gt;3),C96,"")</f>
        <v>#N/A</v>
      </c>
      <c r="I96" s="42" t="e">
        <f>IF(H96="",IF(OR(F96&gt;2,G96&gt;2),C96,""),"")</f>
        <v>#N/A</v>
      </c>
    </row>
    <row r="97" spans="1:9" ht="60" x14ac:dyDescent="0.25">
      <c r="A97" s="31" t="s">
        <v>37</v>
      </c>
      <c r="B97" s="35" t="s">
        <v>0</v>
      </c>
      <c r="C97" s="38" t="s">
        <v>185</v>
      </c>
      <c r="D97" s="36">
        <f>10+25</f>
        <v>35</v>
      </c>
      <c r="E97" s="36" t="e">
        <f>(IF(H97="",0,D97))+(IF(I97="",0,D97))</f>
        <v>#N/A</v>
      </c>
      <c r="F97" s="36" t="e">
        <f>VLOOKUP('IX. PRMIA Standards'!B3,Inputs!A:B,2,FALSE)</f>
        <v>#N/A</v>
      </c>
      <c r="G97" s="37" t="e">
        <f>VLOOKUP('IX. PRMIA Standards'!C3,Inputs!D:E,2,FALSE)</f>
        <v>#N/A</v>
      </c>
      <c r="H97" s="43" t="e">
        <f>IF(OR(F97&gt;3,G97&gt;3),C97,"")</f>
        <v>#N/A</v>
      </c>
      <c r="I97" s="44" t="e">
        <f>IF(H97="",IF(OR(F97&gt;2,G97&gt;2),C97,""),"")</f>
        <v>#N/A</v>
      </c>
    </row>
    <row r="98" spans="1:9" ht="60.75" thickBot="1" x14ac:dyDescent="0.3">
      <c r="A98" s="31" t="s">
        <v>38</v>
      </c>
      <c r="B98" s="35" t="s">
        <v>0</v>
      </c>
      <c r="C98" s="38" t="s">
        <v>185</v>
      </c>
      <c r="D98" s="36">
        <v>6</v>
      </c>
      <c r="E98" s="36" t="e">
        <f>(IF(H98="",0,D98))+(IF(I98="",0,D98))</f>
        <v>#N/A</v>
      </c>
      <c r="F98" s="36" t="e">
        <f>VLOOKUP('IX. PRMIA Standards'!B4,Inputs!A:B,2,FALSE)</f>
        <v>#N/A</v>
      </c>
      <c r="G98" s="37" t="e">
        <f>VLOOKUP('IX. PRMIA Standards'!C4,Inputs!D:E,2,FALSE)</f>
        <v>#N/A</v>
      </c>
      <c r="H98" s="45" t="e">
        <f>IF(OR(F98&gt;3,G98&gt;3),C98,"")</f>
        <v>#N/A</v>
      </c>
      <c r="I98" s="46" t="e">
        <f>IF(H98="",IF(OR(F98&gt;2,G98&gt;2),C98,""),"")</f>
        <v>#N/A</v>
      </c>
    </row>
  </sheetData>
  <sheetProtection algorithmName="SHA-512" hashValue="rwNNhOZbws0BGBlq4rmTnZAAG8bFvXMXsXtsYUFHgrh81dV8FQnqLNuVsXs53NRhZ3CY+dN8yZtaOF3CWHHYVA==" saltValue="ZwaXdt/XQPJ9Jg9jR5z7fQ==" spinCount="100000" sheet="1" objects="1" scenarios="1"/>
  <mergeCells count="24">
    <mergeCell ref="A1:I1"/>
    <mergeCell ref="A2:I2"/>
    <mergeCell ref="A3:I3"/>
    <mergeCell ref="A4:I4"/>
    <mergeCell ref="A5:I5"/>
    <mergeCell ref="H42:I42"/>
    <mergeCell ref="H43:I43"/>
    <mergeCell ref="H54:I54"/>
    <mergeCell ref="H55:I55"/>
    <mergeCell ref="H64:I64"/>
    <mergeCell ref="H93:I93"/>
    <mergeCell ref="H94:I94"/>
    <mergeCell ref="H65:I65"/>
    <mergeCell ref="H75:I75"/>
    <mergeCell ref="H76:I76"/>
    <mergeCell ref="H87:I87"/>
    <mergeCell ref="H88:I88"/>
    <mergeCell ref="H30:I30"/>
    <mergeCell ref="H8:I8"/>
    <mergeCell ref="H18:I18"/>
    <mergeCell ref="H29:I29"/>
    <mergeCell ref="C6:I6"/>
    <mergeCell ref="H9:I9"/>
    <mergeCell ref="H19:I19"/>
  </mergeCells>
  <hyperlinks>
    <hyperlink ref="C91" r:id="rId1" display="Visit www.prmia.org" xr:uid="{FE394B77-AF62-4B4A-A1AA-69D4878E97D3}"/>
    <hyperlink ref="C96" r:id="rId2" display="Visit www.prmia.org" xr:uid="{2D7C7105-18C2-46B4-8466-F9C4FF5E3C52}"/>
    <hyperlink ref="C97" r:id="rId3" display="Visit www.prmia.org" xr:uid="{0D7A8D57-1B9B-4C63-87AE-1A2A50436CC0}"/>
    <hyperlink ref="C98" r:id="rId4" display="Visit www.prmia.org" xr:uid="{5098748C-66BB-473F-9B0B-E9FAFCD07CCB}"/>
  </hyperlinks>
  <pageMargins left="0.7" right="0.7" top="1.75" bottom="0.75" header="0.3" footer="0.3"/>
  <pageSetup scale="96" orientation="landscape" horizontalDpi="1200" verticalDpi="1200" r:id="rId5"/>
  <headerFooter>
    <oddHeader>&amp;L&amp;G&amp;C&amp;A</oddHeader>
    <oddFooter>&amp;R&amp;F</oddFooter>
  </headerFooter>
  <rowBreaks count="8" manualBreakCount="8">
    <brk id="7" max="8" man="1"/>
    <brk id="17" max="16383" man="1"/>
    <brk id="28" max="16383" man="1"/>
    <brk id="41" max="8" man="1"/>
    <brk id="53" max="8" man="1"/>
    <brk id="63" max="8" man="1"/>
    <brk id="74" max="8" man="1"/>
    <brk id="86" max="8" man="1"/>
  </rowBreaks>
  <drawing r:id="rId6"/>
  <legacyDrawingHF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03FA2-FD6E-47A5-A6F0-79D30582BDAC}">
  <sheetPr>
    <tabColor rgb="FFD14900"/>
  </sheetPr>
  <dimension ref="A1:J40"/>
  <sheetViews>
    <sheetView showGridLines="0" showRowColHeaders="0" zoomScale="120" zoomScaleNormal="120" workbookViewId="0">
      <selection activeCell="I17" sqref="I17"/>
    </sheetView>
  </sheetViews>
  <sheetFormatPr defaultRowHeight="15" x14ac:dyDescent="0.25"/>
  <cols>
    <col min="1" max="1" width="46.42578125" customWidth="1"/>
    <col min="2" max="4" width="15.7109375" customWidth="1"/>
    <col min="5" max="5" width="9.140625" hidden="1" customWidth="1"/>
  </cols>
  <sheetData>
    <row r="1" spans="1:10" ht="24.75" customHeight="1" x14ac:dyDescent="0.25">
      <c r="A1" s="80" t="s">
        <v>93</v>
      </c>
      <c r="B1" s="80"/>
      <c r="C1" s="80"/>
      <c r="D1" s="80"/>
      <c r="E1" s="67"/>
      <c r="F1" s="67"/>
      <c r="G1" s="67"/>
      <c r="H1" s="67"/>
      <c r="I1" s="67"/>
      <c r="J1" s="67"/>
    </row>
    <row r="2" spans="1:10" ht="43.5" customHeight="1" x14ac:dyDescent="0.25">
      <c r="A2" s="92" t="s">
        <v>86</v>
      </c>
      <c r="B2" s="92"/>
      <c r="C2" s="92"/>
      <c r="D2" s="92"/>
      <c r="E2" s="47"/>
      <c r="F2" s="47"/>
      <c r="G2" s="47"/>
      <c r="H2" s="47"/>
      <c r="I2" s="47"/>
    </row>
    <row r="3" spans="1:10" ht="39.75" customHeight="1" x14ac:dyDescent="0.25">
      <c r="A3" s="93" t="s">
        <v>67</v>
      </c>
      <c r="B3" s="93"/>
      <c r="C3" s="93"/>
      <c r="D3" s="93"/>
      <c r="E3" s="79"/>
      <c r="F3" s="79"/>
      <c r="G3" s="79"/>
      <c r="H3" s="79"/>
      <c r="I3" s="26"/>
    </row>
    <row r="5" spans="1:10" ht="36.75" x14ac:dyDescent="0.25">
      <c r="B5" s="61" t="s">
        <v>48</v>
      </c>
      <c r="C5" s="61" t="s">
        <v>47</v>
      </c>
      <c r="D5" s="61" t="s">
        <v>79</v>
      </c>
    </row>
    <row r="6" spans="1:10" x14ac:dyDescent="0.25">
      <c r="A6" s="63" t="s">
        <v>16</v>
      </c>
      <c r="B6" s="49">
        <f>COUNTA('My Self Assessment Report'!A11:A16)</f>
        <v>6</v>
      </c>
      <c r="C6" s="49" t="e">
        <f>SUM('My Self Assessment Report'!E11:E16)</f>
        <v>#N/A</v>
      </c>
      <c r="D6" s="49" t="e">
        <f t="shared" ref="D6:D14" si="0">ROUNDUP((C6*2.5)/60,1)</f>
        <v>#N/A</v>
      </c>
      <c r="E6" t="e">
        <f>D6/SUM($D$6:$D$14)</f>
        <v>#N/A</v>
      </c>
    </row>
    <row r="7" spans="1:10" x14ac:dyDescent="0.25">
      <c r="A7" s="63" t="s">
        <v>21</v>
      </c>
      <c r="B7" s="49">
        <f>COUNTA('My Self Assessment Report'!A21:A27)</f>
        <v>7</v>
      </c>
      <c r="C7" s="49" t="e">
        <f>SUM('My Self Assessment Report'!E21:E27)</f>
        <v>#N/A</v>
      </c>
      <c r="D7" s="49" t="e">
        <f t="shared" si="0"/>
        <v>#N/A</v>
      </c>
      <c r="E7" t="e">
        <f t="shared" ref="E7:E14" si="1">D7/SUM($D$6:$D$14)</f>
        <v>#N/A</v>
      </c>
    </row>
    <row r="8" spans="1:10" x14ac:dyDescent="0.25">
      <c r="A8" s="63" t="s">
        <v>22</v>
      </c>
      <c r="B8" s="49">
        <f>COUNTA('My Self Assessment Report'!A32:A40)</f>
        <v>9</v>
      </c>
      <c r="C8" s="49" t="e">
        <f>SUM('My Self Assessment Report'!E32:E40)</f>
        <v>#N/A</v>
      </c>
      <c r="D8" s="49" t="e">
        <f t="shared" si="0"/>
        <v>#N/A</v>
      </c>
      <c r="E8" t="e">
        <f t="shared" si="1"/>
        <v>#N/A</v>
      </c>
    </row>
    <row r="9" spans="1:10" x14ac:dyDescent="0.25">
      <c r="A9" s="63" t="s">
        <v>39</v>
      </c>
      <c r="B9" s="49">
        <f>COUNTA('My Self Assessment Report'!A45:A52)</f>
        <v>8</v>
      </c>
      <c r="C9" s="49" t="e">
        <f>SUM('My Self Assessment Report'!E45:E52)</f>
        <v>#N/A</v>
      </c>
      <c r="D9" s="49" t="e">
        <f t="shared" si="0"/>
        <v>#N/A</v>
      </c>
      <c r="E9" t="e">
        <f t="shared" si="1"/>
        <v>#N/A</v>
      </c>
    </row>
    <row r="10" spans="1:10" x14ac:dyDescent="0.25">
      <c r="A10" s="63" t="s">
        <v>40</v>
      </c>
      <c r="B10" s="49">
        <f>COUNTA('My Self Assessment Report'!A57:A62)</f>
        <v>6</v>
      </c>
      <c r="C10" s="49" t="e">
        <f>SUM('My Self Assessment Report'!E57:E62)</f>
        <v>#N/A</v>
      </c>
      <c r="D10" s="49" t="e">
        <f t="shared" si="0"/>
        <v>#N/A</v>
      </c>
      <c r="E10" t="e">
        <f t="shared" si="1"/>
        <v>#N/A</v>
      </c>
    </row>
    <row r="11" spans="1:10" x14ac:dyDescent="0.25">
      <c r="A11" s="63" t="s">
        <v>41</v>
      </c>
      <c r="B11" s="49">
        <f>COUNTA('My Self Assessment Report'!A67:A73)</f>
        <v>7</v>
      </c>
      <c r="C11" s="49" t="e">
        <f>SUM('My Self Assessment Report'!E67:E73)</f>
        <v>#N/A</v>
      </c>
      <c r="D11" s="49" t="e">
        <f t="shared" si="0"/>
        <v>#N/A</v>
      </c>
      <c r="E11" t="e">
        <f t="shared" si="1"/>
        <v>#N/A</v>
      </c>
    </row>
    <row r="12" spans="1:10" x14ac:dyDescent="0.25">
      <c r="A12" s="63" t="s">
        <v>42</v>
      </c>
      <c r="B12" s="49">
        <f>COUNTA('My Self Assessment Report'!A78:A85)</f>
        <v>8</v>
      </c>
      <c r="C12" s="49" t="e">
        <f>SUM('My Self Assessment Report'!E78:E85)</f>
        <v>#N/A</v>
      </c>
      <c r="D12" s="49" t="e">
        <f t="shared" si="0"/>
        <v>#N/A</v>
      </c>
      <c r="E12" t="e">
        <f t="shared" si="1"/>
        <v>#N/A</v>
      </c>
    </row>
    <row r="13" spans="1:10" x14ac:dyDescent="0.25">
      <c r="A13" s="63" t="s">
        <v>43</v>
      </c>
      <c r="B13" s="49">
        <f>COUNTA('My Self Assessment Report'!A90:A91)</f>
        <v>2</v>
      </c>
      <c r="C13" s="49" t="e">
        <f>SUM('My Self Assessment Report'!E90:E91)</f>
        <v>#N/A</v>
      </c>
      <c r="D13" s="49" t="e">
        <f t="shared" si="0"/>
        <v>#N/A</v>
      </c>
      <c r="E13" t="e">
        <f t="shared" si="1"/>
        <v>#N/A</v>
      </c>
    </row>
    <row r="14" spans="1:10" x14ac:dyDescent="0.25">
      <c r="A14" s="63" t="s">
        <v>44</v>
      </c>
      <c r="B14" s="49">
        <f>COUNTA('My Self Assessment Report'!A96:A98)</f>
        <v>3</v>
      </c>
      <c r="C14" s="49" t="e">
        <f>SUM('My Self Assessment Report'!E96:E98)</f>
        <v>#N/A</v>
      </c>
      <c r="D14" s="49" t="e">
        <f t="shared" si="0"/>
        <v>#N/A</v>
      </c>
      <c r="E14" t="e">
        <f t="shared" si="1"/>
        <v>#N/A</v>
      </c>
    </row>
    <row r="15" spans="1:10" ht="30.75" customHeight="1" x14ac:dyDescent="0.25">
      <c r="A15" s="95" t="s">
        <v>49</v>
      </c>
      <c r="B15" s="95"/>
      <c r="C15" s="95"/>
      <c r="D15" s="95"/>
    </row>
    <row r="16" spans="1:10" x14ac:dyDescent="0.25">
      <c r="A16" s="22" t="s">
        <v>89</v>
      </c>
    </row>
    <row r="17" spans="1:9" ht="45.75" customHeight="1" x14ac:dyDescent="0.25">
      <c r="A17" s="92" t="s">
        <v>88</v>
      </c>
      <c r="B17" s="92"/>
      <c r="C17" s="92"/>
      <c r="D17" s="92"/>
      <c r="E17" s="47"/>
      <c r="F17" s="47"/>
      <c r="G17" s="47"/>
      <c r="H17" s="47"/>
      <c r="I17" s="26"/>
    </row>
    <row r="18" spans="1:9" ht="34.5" customHeight="1" x14ac:dyDescent="0.25">
      <c r="A18" s="92" t="s">
        <v>85</v>
      </c>
      <c r="B18" s="92"/>
      <c r="C18" s="92"/>
      <c r="D18" s="92"/>
      <c r="E18" s="47"/>
      <c r="F18" s="47"/>
      <c r="G18" s="47"/>
      <c r="H18" s="47"/>
      <c r="I18" s="26"/>
    </row>
    <row r="19" spans="1:9" x14ac:dyDescent="0.25">
      <c r="A19" s="22" t="s">
        <v>87</v>
      </c>
    </row>
    <row r="20" spans="1:9" s="1" customFormat="1" ht="30" customHeight="1" x14ac:dyDescent="0.25">
      <c r="A20" s="52" t="s">
        <v>81</v>
      </c>
      <c r="B20" s="73">
        <v>0</v>
      </c>
      <c r="C20" s="1" t="s">
        <v>52</v>
      </c>
    </row>
    <row r="21" spans="1:9" s="1" customFormat="1" ht="30" customHeight="1" x14ac:dyDescent="0.25">
      <c r="A21" s="53" t="s">
        <v>53</v>
      </c>
      <c r="B21" s="74">
        <f ca="1">TODAY()</f>
        <v>45532</v>
      </c>
      <c r="C21" s="1" t="s">
        <v>80</v>
      </c>
    </row>
    <row r="22" spans="1:9" s="1" customFormat="1" ht="30" customHeight="1" x14ac:dyDescent="0.25">
      <c r="A22" s="53" t="s">
        <v>50</v>
      </c>
      <c r="B22" s="75"/>
      <c r="C22" s="1" t="s">
        <v>51</v>
      </c>
    </row>
    <row r="23" spans="1:9" s="1" customFormat="1" ht="21" customHeight="1" x14ac:dyDescent="0.25">
      <c r="B23" s="54"/>
    </row>
    <row r="24" spans="1:9" ht="15" customHeight="1" x14ac:dyDescent="0.25">
      <c r="A24" s="94" t="str">
        <f>CONCATENATE("You have ",E24," weeks, or ",E25," months, until your expected testing window opens.")</f>
        <v>You have  weeks, or  months, until your expected testing window opens.</v>
      </c>
      <c r="B24" s="94"/>
      <c r="C24" s="94"/>
      <c r="D24" s="94"/>
      <c r="E24" s="56" t="str">
        <f>IF(B22="","",ROUNDDOWN((B22-B21)/7,0))</f>
        <v/>
      </c>
    </row>
    <row r="25" spans="1:9" ht="15" customHeight="1" x14ac:dyDescent="0.25">
      <c r="A25" s="55"/>
      <c r="B25" s="21"/>
      <c r="C25" s="58"/>
      <c r="D25" s="21"/>
      <c r="E25" s="56" t="str">
        <f>IF(B22="","",ROUNDDOWN((B22-B21)/30,0))</f>
        <v/>
      </c>
    </row>
    <row r="26" spans="1:9" ht="15" customHeight="1" x14ac:dyDescent="0.25">
      <c r="A26" s="94" t="str">
        <f>CONCATENATE("You have approximately ",E26," total hours available for reading and studing.")</f>
        <v>You have approximately  total hours available for reading and studing.</v>
      </c>
      <c r="B26" s="94"/>
      <c r="C26" s="94"/>
      <c r="D26" s="94"/>
      <c r="E26" s="57" t="str">
        <f>IF(OR(B20="",B22=""),"",E24*B20)</f>
        <v/>
      </c>
    </row>
    <row r="27" spans="1:9" ht="15" customHeight="1" x14ac:dyDescent="0.25">
      <c r="A27" s="94" t="e">
        <f>CONCATENATE("You will need approximately ",E27," hours for reading the recommended pages.")</f>
        <v>#N/A</v>
      </c>
      <c r="B27" s="94"/>
      <c r="C27" s="94"/>
      <c r="D27" s="94"/>
      <c r="E27" s="57" t="e">
        <f>ROUNDUP(SUM(D6:D14),0)</f>
        <v>#N/A</v>
      </c>
    </row>
    <row r="28" spans="1:9" ht="15" customHeight="1" x14ac:dyDescent="0.25">
      <c r="A28" s="94" t="str">
        <f>CONCATENATE("As a result, you have ",E28," hours available to study the readings and complete other learning activities.")</f>
        <v>As a result, you have  hours available to study the readings and complete other learning activities.</v>
      </c>
      <c r="B28" s="94"/>
      <c r="C28" s="94"/>
      <c r="D28" s="94"/>
      <c r="E28" s="57" t="str">
        <f>IF(E26="","",E26-E27)</f>
        <v/>
      </c>
    </row>
    <row r="29" spans="1:9" x14ac:dyDescent="0.25">
      <c r="A29" s="22" t="s">
        <v>90</v>
      </c>
    </row>
    <row r="30" spans="1:9" ht="54" customHeight="1" x14ac:dyDescent="0.25">
      <c r="A30" s="92" t="s">
        <v>91</v>
      </c>
      <c r="B30" s="92"/>
      <c r="C30" s="92"/>
      <c r="D30" s="92"/>
      <c r="E30" s="47"/>
      <c r="F30" s="47"/>
      <c r="G30" s="47"/>
      <c r="H30" s="47"/>
      <c r="I30" s="26"/>
    </row>
    <row r="31" spans="1:9" ht="90" x14ac:dyDescent="0.25">
      <c r="B31" s="62" t="s">
        <v>82</v>
      </c>
      <c r="C31" s="62" t="s">
        <v>83</v>
      </c>
      <c r="D31" s="62" t="s">
        <v>84</v>
      </c>
    </row>
    <row r="32" spans="1:9" x14ac:dyDescent="0.25">
      <c r="A32" s="76" t="s">
        <v>16</v>
      </c>
      <c r="B32" s="59" t="str">
        <f t="shared" ref="B32:B40" si="2">IF($E$26="","",ROUND((E6*$E$26)/$B$20,0))</f>
        <v/>
      </c>
      <c r="C32" s="60" t="e">
        <f>ROUND(D6/$B$20,1)</f>
        <v>#N/A</v>
      </c>
      <c r="D32" s="60" t="str">
        <f>IF(B32="","",B32-C32)</f>
        <v/>
      </c>
    </row>
    <row r="33" spans="1:4" x14ac:dyDescent="0.25">
      <c r="A33" s="76" t="s">
        <v>21</v>
      </c>
      <c r="B33" s="59" t="str">
        <f t="shared" si="2"/>
        <v/>
      </c>
      <c r="C33" s="60" t="e">
        <f t="shared" ref="C33:C40" si="3">ROUND(D7/$B$20,1)</f>
        <v>#N/A</v>
      </c>
      <c r="D33" s="60" t="str">
        <f t="shared" ref="D33:D40" si="4">IF(B33="","",B33-C33)</f>
        <v/>
      </c>
    </row>
    <row r="34" spans="1:4" x14ac:dyDescent="0.25">
      <c r="A34" s="76" t="s">
        <v>22</v>
      </c>
      <c r="B34" s="59" t="str">
        <f t="shared" si="2"/>
        <v/>
      </c>
      <c r="C34" s="60" t="e">
        <f t="shared" si="3"/>
        <v>#N/A</v>
      </c>
      <c r="D34" s="60" t="str">
        <f t="shared" si="4"/>
        <v/>
      </c>
    </row>
    <row r="35" spans="1:4" x14ac:dyDescent="0.25">
      <c r="A35" s="76" t="s">
        <v>39</v>
      </c>
      <c r="B35" s="59" t="str">
        <f t="shared" si="2"/>
        <v/>
      </c>
      <c r="C35" s="60" t="e">
        <f t="shared" si="3"/>
        <v>#N/A</v>
      </c>
      <c r="D35" s="60" t="str">
        <f t="shared" si="4"/>
        <v/>
      </c>
    </row>
    <row r="36" spans="1:4" ht="30" x14ac:dyDescent="0.25">
      <c r="A36" s="76" t="s">
        <v>40</v>
      </c>
      <c r="B36" s="59" t="str">
        <f t="shared" si="2"/>
        <v/>
      </c>
      <c r="C36" s="60" t="e">
        <f t="shared" si="3"/>
        <v>#N/A</v>
      </c>
      <c r="D36" s="60" t="str">
        <f t="shared" si="4"/>
        <v/>
      </c>
    </row>
    <row r="37" spans="1:4" x14ac:dyDescent="0.25">
      <c r="A37" s="76" t="s">
        <v>41</v>
      </c>
      <c r="B37" s="59" t="str">
        <f t="shared" si="2"/>
        <v/>
      </c>
      <c r="C37" s="60" t="e">
        <f t="shared" si="3"/>
        <v>#N/A</v>
      </c>
      <c r="D37" s="60" t="str">
        <f t="shared" si="4"/>
        <v/>
      </c>
    </row>
    <row r="38" spans="1:4" ht="30" x14ac:dyDescent="0.25">
      <c r="A38" s="76" t="s">
        <v>42</v>
      </c>
      <c r="B38" s="59" t="str">
        <f t="shared" si="2"/>
        <v/>
      </c>
      <c r="C38" s="60" t="e">
        <f t="shared" si="3"/>
        <v>#N/A</v>
      </c>
      <c r="D38" s="60" t="str">
        <f t="shared" si="4"/>
        <v/>
      </c>
    </row>
    <row r="39" spans="1:4" x14ac:dyDescent="0.25">
      <c r="A39" s="76" t="s">
        <v>43</v>
      </c>
      <c r="B39" s="59" t="str">
        <f t="shared" si="2"/>
        <v/>
      </c>
      <c r="C39" s="60" t="e">
        <f t="shared" si="3"/>
        <v>#N/A</v>
      </c>
      <c r="D39" s="60" t="str">
        <f t="shared" si="4"/>
        <v/>
      </c>
    </row>
    <row r="40" spans="1:4" x14ac:dyDescent="0.25">
      <c r="A40" s="76" t="s">
        <v>44</v>
      </c>
      <c r="B40" s="59" t="str">
        <f t="shared" si="2"/>
        <v/>
      </c>
      <c r="C40" s="60" t="e">
        <f t="shared" si="3"/>
        <v>#N/A</v>
      </c>
      <c r="D40" s="60" t="str">
        <f t="shared" si="4"/>
        <v/>
      </c>
    </row>
  </sheetData>
  <sheetProtection algorithmName="SHA-512" hashValue="aN6U45/e3bysr0jd195HR+f+ZsvUrjpZ3RVivr8m8UIwsyuqCTPZDSmboa76bNKA1mHWg6AIwEG1bfwcFw/FHw==" saltValue="vxoeFw4g5C32663pmAkFag==" spinCount="100000" sheet="1" objects="1" scenarios="1"/>
  <mergeCells count="12">
    <mergeCell ref="A30:D30"/>
    <mergeCell ref="A1:D1"/>
    <mergeCell ref="A3:D3"/>
    <mergeCell ref="E3:H3"/>
    <mergeCell ref="A24:D24"/>
    <mergeCell ref="A26:D26"/>
    <mergeCell ref="A27:D27"/>
    <mergeCell ref="A28:D28"/>
    <mergeCell ref="A15:D15"/>
    <mergeCell ref="A2:D2"/>
    <mergeCell ref="A17:D17"/>
    <mergeCell ref="A18:D18"/>
  </mergeCells>
  <pageMargins left="0.7" right="0.7" top="2" bottom="0.75" header="0.3" footer="0.3"/>
  <pageSetup scale="120" orientation="landscape" verticalDpi="300" r:id="rId1"/>
  <headerFooter>
    <oddHeader>&amp;L&amp;G&amp;C&amp;A</oddHeader>
    <oddFooter>&amp;R&amp;F</oddFooter>
  </headerFooter>
  <rowBreaks count="2" manualBreakCount="2">
    <brk id="15" max="3" man="1"/>
    <brk id="28" max="3" man="1"/>
  </rowBreak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87BF5135-9C15-4E2F-879B-ED66B718141B}">
          <x14:formula1>
            <xm:f>Inputs!$N:$N</xm:f>
          </x14:formula1>
          <xm:sqref>B22:B23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541B5-BCBC-4538-A8BF-B8687467C7AE}">
  <sheetPr>
    <tabColor rgb="FFD14900"/>
  </sheetPr>
  <dimension ref="A1:J11"/>
  <sheetViews>
    <sheetView showGridLines="0" showRowColHeaders="0" zoomScaleNormal="100" workbookViewId="0">
      <selection activeCell="H8" sqref="H8"/>
    </sheetView>
  </sheetViews>
  <sheetFormatPr defaultRowHeight="15" x14ac:dyDescent="0.25"/>
  <cols>
    <col min="1" max="4" width="30.7109375" customWidth="1"/>
  </cols>
  <sheetData>
    <row r="1" spans="1:10" ht="24.75" customHeight="1" thickBot="1" x14ac:dyDescent="0.3">
      <c r="A1" s="80" t="s">
        <v>94</v>
      </c>
      <c r="B1" s="80"/>
      <c r="C1" s="80"/>
      <c r="D1" s="80"/>
      <c r="E1" s="67"/>
      <c r="F1" s="67"/>
      <c r="G1" s="67"/>
      <c r="H1" s="67"/>
      <c r="I1" s="67"/>
      <c r="J1" s="67"/>
    </row>
    <row r="2" spans="1:10" ht="20.100000000000001" customHeight="1" x14ac:dyDescent="0.25">
      <c r="A2" s="12" t="s">
        <v>54</v>
      </c>
      <c r="B2" s="13" t="s">
        <v>55</v>
      </c>
      <c r="C2" s="13" t="s">
        <v>56</v>
      </c>
      <c r="D2" s="14" t="s">
        <v>57</v>
      </c>
    </row>
    <row r="3" spans="1:10" ht="110.1" customHeight="1" thickBot="1" x14ac:dyDescent="0.3">
      <c r="A3" s="18"/>
      <c r="B3" s="19"/>
      <c r="C3" s="19"/>
      <c r="D3" s="20"/>
    </row>
    <row r="4" spans="1:10" x14ac:dyDescent="0.25">
      <c r="A4" s="96" t="s">
        <v>58</v>
      </c>
      <c r="B4" s="97"/>
      <c r="C4" s="97"/>
      <c r="D4" s="98"/>
    </row>
    <row r="5" spans="1:10" ht="20.100000000000001" customHeight="1" thickBot="1" x14ac:dyDescent="0.3">
      <c r="A5" s="9"/>
      <c r="B5" s="10"/>
      <c r="C5" s="10"/>
      <c r="D5" s="11"/>
    </row>
    <row r="6" spans="1:10" ht="15.75" thickBot="1" x14ac:dyDescent="0.3">
      <c r="A6" s="2"/>
      <c r="B6" s="2"/>
      <c r="C6" s="2"/>
      <c r="D6" s="2"/>
    </row>
    <row r="7" spans="1:10" ht="20.100000000000001" customHeight="1" x14ac:dyDescent="0.25">
      <c r="A7" s="15" t="s">
        <v>59</v>
      </c>
      <c r="B7" s="16" t="s">
        <v>60</v>
      </c>
      <c r="C7" s="16" t="s">
        <v>61</v>
      </c>
      <c r="D7" s="17" t="s">
        <v>62</v>
      </c>
    </row>
    <row r="8" spans="1:10" ht="110.1" customHeight="1" thickBot="1" x14ac:dyDescent="0.3">
      <c r="A8" s="18"/>
      <c r="B8" s="19"/>
      <c r="C8" s="19"/>
      <c r="D8" s="20"/>
    </row>
    <row r="9" spans="1:10" x14ac:dyDescent="0.25">
      <c r="A9" s="99" t="s">
        <v>58</v>
      </c>
      <c r="B9" s="100"/>
      <c r="C9" s="100"/>
      <c r="D9" s="101"/>
    </row>
    <row r="10" spans="1:10" ht="20.100000000000001" customHeight="1" thickBot="1" x14ac:dyDescent="0.3">
      <c r="A10" s="9"/>
      <c r="B10" s="10"/>
      <c r="C10" s="10"/>
      <c r="D10" s="11"/>
    </row>
    <row r="11" spans="1:10" x14ac:dyDescent="0.25">
      <c r="A11" s="2"/>
      <c r="B11" s="2"/>
      <c r="C11" s="2"/>
      <c r="D11" s="2"/>
    </row>
  </sheetData>
  <mergeCells count="3">
    <mergeCell ref="A4:D4"/>
    <mergeCell ref="A9:D9"/>
    <mergeCell ref="A1:D1"/>
  </mergeCells>
  <pageMargins left="0.7" right="0.7" top="0.75" bottom="0.75" header="0.3" footer="0.3"/>
  <pageSetup scale="99" orientation="landscape" horizontalDpi="1200" verticalDpi="1200" r:id="rId1"/>
  <headerFooter>
    <oddHeader>&amp;C&amp;A</oddHeader>
    <oddFooter>&amp;R&amp;F</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837C-8F1A-4C75-879D-99669BD0DA16}">
  <sheetPr>
    <tabColor theme="0" tint="-0.499984740745262"/>
  </sheetPr>
  <dimension ref="A1:N21"/>
  <sheetViews>
    <sheetView workbookViewId="0">
      <selection activeCell="R21" sqref="R21"/>
    </sheetView>
  </sheetViews>
  <sheetFormatPr defaultRowHeight="15" x14ac:dyDescent="0.25"/>
  <cols>
    <col min="14" max="14" width="12.140625" style="51" bestFit="1" customWidth="1"/>
  </cols>
  <sheetData>
    <row r="1" spans="1:14" x14ac:dyDescent="0.25">
      <c r="A1" t="s">
        <v>4</v>
      </c>
      <c r="B1">
        <v>1</v>
      </c>
      <c r="C1" t="s">
        <v>30</v>
      </c>
      <c r="D1" t="s">
        <v>11</v>
      </c>
      <c r="E1">
        <v>1</v>
      </c>
      <c r="F1" t="s">
        <v>27</v>
      </c>
      <c r="N1" s="50">
        <v>45607</v>
      </c>
    </row>
    <row r="2" spans="1:14" x14ac:dyDescent="0.25">
      <c r="A2" t="s">
        <v>6</v>
      </c>
      <c r="B2">
        <v>2</v>
      </c>
      <c r="C2" t="s">
        <v>31</v>
      </c>
      <c r="D2" t="s">
        <v>9</v>
      </c>
      <c r="E2">
        <v>2</v>
      </c>
      <c r="F2" t="s">
        <v>26</v>
      </c>
      <c r="N2" s="50">
        <v>45698</v>
      </c>
    </row>
    <row r="3" spans="1:14" x14ac:dyDescent="0.25">
      <c r="A3" t="s">
        <v>5</v>
      </c>
      <c r="B3">
        <v>3</v>
      </c>
      <c r="C3" t="s">
        <v>29</v>
      </c>
      <c r="D3" t="s">
        <v>8</v>
      </c>
      <c r="E3">
        <v>3</v>
      </c>
      <c r="F3" t="s">
        <v>32</v>
      </c>
      <c r="N3" s="50">
        <v>45796</v>
      </c>
    </row>
    <row r="4" spans="1:14" x14ac:dyDescent="0.25">
      <c r="A4" t="s">
        <v>7</v>
      </c>
      <c r="B4">
        <v>4</v>
      </c>
      <c r="C4" t="s">
        <v>28</v>
      </c>
      <c r="D4" t="s">
        <v>10</v>
      </c>
      <c r="E4">
        <v>4</v>
      </c>
      <c r="F4" t="s">
        <v>25</v>
      </c>
      <c r="N4" s="50">
        <v>45880</v>
      </c>
    </row>
    <row r="5" spans="1:14" x14ac:dyDescent="0.25">
      <c r="A5" t="s">
        <v>3</v>
      </c>
      <c r="B5">
        <v>5</v>
      </c>
      <c r="C5" t="s">
        <v>23</v>
      </c>
      <c r="D5" t="s">
        <v>12</v>
      </c>
      <c r="E5">
        <v>5</v>
      </c>
      <c r="F5" t="s">
        <v>24</v>
      </c>
      <c r="N5" s="50">
        <v>45971</v>
      </c>
    </row>
    <row r="6" spans="1:14" x14ac:dyDescent="0.25">
      <c r="N6" s="50">
        <v>46062</v>
      </c>
    </row>
    <row r="7" spans="1:14" x14ac:dyDescent="0.25">
      <c r="N7" s="50">
        <v>46160</v>
      </c>
    </row>
    <row r="8" spans="1:14" x14ac:dyDescent="0.25">
      <c r="N8" s="50">
        <v>46244</v>
      </c>
    </row>
    <row r="9" spans="1:14" x14ac:dyDescent="0.25">
      <c r="N9" s="50">
        <v>46335</v>
      </c>
    </row>
    <row r="10" spans="1:14" x14ac:dyDescent="0.25">
      <c r="N10"/>
    </row>
    <row r="11" spans="1:14" x14ac:dyDescent="0.25">
      <c r="N11"/>
    </row>
    <row r="12" spans="1:14" x14ac:dyDescent="0.25">
      <c r="N12"/>
    </row>
    <row r="13" spans="1:14" x14ac:dyDescent="0.25">
      <c r="N13"/>
    </row>
    <row r="14" spans="1:14" x14ac:dyDescent="0.25">
      <c r="N14"/>
    </row>
    <row r="15" spans="1:14" x14ac:dyDescent="0.25">
      <c r="N15"/>
    </row>
    <row r="16" spans="1:14" x14ac:dyDescent="0.25">
      <c r="N16"/>
    </row>
    <row r="17" spans="14:14" x14ac:dyDescent="0.25">
      <c r="N17"/>
    </row>
    <row r="18" spans="14:14" x14ac:dyDescent="0.25">
      <c r="N18"/>
    </row>
    <row r="19" spans="14:14" x14ac:dyDescent="0.25">
      <c r="N19"/>
    </row>
    <row r="20" spans="14:14" x14ac:dyDescent="0.25">
      <c r="N20"/>
    </row>
    <row r="21" spans="14:14" x14ac:dyDescent="0.25">
      <c r="N2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DEADA-9A0F-4A13-BDF2-D5F1EF802662}">
  <sheetPr>
    <tabColor rgb="FF00476D"/>
  </sheetPr>
  <dimension ref="A1:C7"/>
  <sheetViews>
    <sheetView showGridLines="0" showRowColHeaders="0" zoomScale="150" zoomScaleNormal="150" workbookViewId="0">
      <selection activeCell="B2" sqref="B2"/>
    </sheetView>
  </sheetViews>
  <sheetFormatPr defaultRowHeight="15" x14ac:dyDescent="0.25"/>
  <cols>
    <col min="1" max="1" width="36.140625" bestFit="1" customWidth="1"/>
    <col min="2" max="3" width="25.7109375" customWidth="1"/>
  </cols>
  <sheetData>
    <row r="1" spans="1:3" ht="45" x14ac:dyDescent="0.25">
      <c r="A1" s="23" t="s">
        <v>106</v>
      </c>
      <c r="B1" s="64" t="s">
        <v>13</v>
      </c>
      <c r="C1" s="64" t="s">
        <v>14</v>
      </c>
    </row>
    <row r="2" spans="1:3" x14ac:dyDescent="0.25">
      <c r="A2" s="23" t="s">
        <v>123</v>
      </c>
      <c r="B2" s="68"/>
      <c r="C2" s="68"/>
    </row>
    <row r="3" spans="1:3" x14ac:dyDescent="0.25">
      <c r="A3" s="23" t="s">
        <v>124</v>
      </c>
      <c r="B3" s="68"/>
      <c r="C3" s="68"/>
    </row>
    <row r="4" spans="1:3" x14ac:dyDescent="0.25">
      <c r="A4" s="23" t="s">
        <v>125</v>
      </c>
      <c r="B4" s="68"/>
      <c r="C4" s="68"/>
    </row>
    <row r="5" spans="1:3" x14ac:dyDescent="0.25">
      <c r="A5" s="23" t="s">
        <v>126</v>
      </c>
      <c r="B5" s="68"/>
      <c r="C5" s="68"/>
    </row>
    <row r="6" spans="1:3" x14ac:dyDescent="0.25">
      <c r="A6" s="23" t="s">
        <v>127</v>
      </c>
      <c r="B6" s="68"/>
      <c r="C6" s="68"/>
    </row>
    <row r="7" spans="1:3" x14ac:dyDescent="0.25">
      <c r="A7" s="23" t="s">
        <v>128</v>
      </c>
      <c r="B7" s="68"/>
      <c r="C7" s="68"/>
    </row>
  </sheetData>
  <sheetProtection algorithmName="SHA-512" hashValue="RX1q2lG2TmMRLombz06EkhqvYSUDH9UhMo/sFy3R7rETt3EuZ4ij/qb4ml+52dhdB7i3czUhpCJ+gY/mWwu7ug==" saltValue="1GFJO1R6QI93WtXYLuCKMw==" spinCount="100000" sheet="1" objects="1" scenarios="1"/>
  <pageMargins left="0.7" right="0.7" top="0.75" bottom="0.75" header="0.3" footer="0.3"/>
  <pageSetup orientation="portrait" horizontalDpi="1200" verticalDpi="1200" r:id="rId1"/>
  <headerFooter>
    <oddHeader>&amp;C&amp;A</oddHeader>
    <oddFooter>&amp;L&amp;G&amp;R&amp;F</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9A8E4C11-FBCB-43C0-BFBC-CC1EBB7A68B7}">
          <x14:formula1>
            <xm:f>Inputs!$A$1:$A$5</xm:f>
          </x14:formula1>
          <xm:sqref>B2:B7</xm:sqref>
        </x14:dataValidation>
        <x14:dataValidation type="list" allowBlank="1" showInputMessage="1" showErrorMessage="1" xr:uid="{F7F22104-FB29-4378-B350-4D5C62BE7E96}">
          <x14:formula1>
            <xm:f>Inputs!$D$1:$D$5</xm:f>
          </x14:formula1>
          <xm:sqref>C2:C7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9B5F4-E5B2-4DC8-BB5B-9B0E52B2724A}">
  <sheetPr>
    <tabColor rgb="FF00476D"/>
  </sheetPr>
  <dimension ref="A1:C8"/>
  <sheetViews>
    <sheetView showGridLines="0" showRowColHeaders="0" zoomScale="150" zoomScaleNormal="150" workbookViewId="0">
      <selection activeCell="B2" sqref="B2"/>
    </sheetView>
  </sheetViews>
  <sheetFormatPr defaultRowHeight="15" x14ac:dyDescent="0.25"/>
  <cols>
    <col min="1" max="1" width="36.140625" bestFit="1" customWidth="1"/>
    <col min="2" max="3" width="25.7109375" customWidth="1"/>
  </cols>
  <sheetData>
    <row r="1" spans="1:3" ht="45" x14ac:dyDescent="0.25">
      <c r="A1" s="23" t="s">
        <v>105</v>
      </c>
      <c r="B1" s="64" t="s">
        <v>13</v>
      </c>
      <c r="C1" s="64" t="s">
        <v>14</v>
      </c>
    </row>
    <row r="2" spans="1:3" x14ac:dyDescent="0.25">
      <c r="A2" s="65" t="s">
        <v>129</v>
      </c>
      <c r="B2" s="68"/>
      <c r="C2" s="68"/>
    </row>
    <row r="3" spans="1:3" x14ac:dyDescent="0.25">
      <c r="A3" s="65" t="s">
        <v>130</v>
      </c>
      <c r="B3" s="68"/>
      <c r="C3" s="68"/>
    </row>
    <row r="4" spans="1:3" x14ac:dyDescent="0.25">
      <c r="A4" s="65" t="s">
        <v>131</v>
      </c>
      <c r="B4" s="68"/>
      <c r="C4" s="68"/>
    </row>
    <row r="5" spans="1:3" x14ac:dyDescent="0.25">
      <c r="A5" s="65" t="s">
        <v>132</v>
      </c>
      <c r="B5" s="68"/>
      <c r="C5" s="68"/>
    </row>
    <row r="6" spans="1:3" x14ac:dyDescent="0.25">
      <c r="A6" s="65" t="s">
        <v>133</v>
      </c>
      <c r="B6" s="68"/>
      <c r="C6" s="68"/>
    </row>
    <row r="7" spans="1:3" x14ac:dyDescent="0.25">
      <c r="A7" s="65" t="s">
        <v>134</v>
      </c>
      <c r="B7" s="68"/>
      <c r="C7" s="68"/>
    </row>
    <row r="8" spans="1:3" x14ac:dyDescent="0.25">
      <c r="A8" s="65" t="s">
        <v>135</v>
      </c>
      <c r="B8" s="68"/>
      <c r="C8" s="68"/>
    </row>
  </sheetData>
  <sheetProtection algorithmName="SHA-512" hashValue="/vxojEdh80vlg6CuiBEZ/bfSu8IYgIeXFIsxRcbvM9PvdnJwrGFZ545OEwT9vl790NRmD3AlXMYRbtp9vBYTGA==" saltValue="kc/jxPN/Vz8xDaGiGanDbg==" spinCount="100000" sheet="1" objects="1" scenarios="1"/>
  <pageMargins left="0.7" right="0.7" top="0.75" bottom="0.75" header="0.3" footer="0.3"/>
  <pageSetup orientation="portrait" verticalDpi="300" r:id="rId1"/>
  <headerFooter>
    <oddHeader>&amp;C&amp;A</oddHeader>
    <oddFooter>&amp;L&amp;G&amp;R&amp;F</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B3F77A51-4C8C-4D85-9EB1-2C9264A9DC43}">
          <x14:formula1>
            <xm:f>Inputs!$A$1:$A$5</xm:f>
          </x14:formula1>
          <xm:sqref>B2:B8</xm:sqref>
        </x14:dataValidation>
        <x14:dataValidation type="list" allowBlank="1" showInputMessage="1" showErrorMessage="1" xr:uid="{D4725EF8-8269-4BC6-AFC8-C7F04A26798A}">
          <x14:formula1>
            <xm:f>Inputs!$D$1:$D$5</xm:f>
          </x14:formula1>
          <xm:sqref>C2:C8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E8DF8-EFEA-48D4-8ACF-5F3E5CAF2288}">
  <sheetPr>
    <tabColor rgb="FF00476D"/>
  </sheetPr>
  <dimension ref="A1:C10"/>
  <sheetViews>
    <sheetView showGridLines="0" showRowColHeaders="0" zoomScale="150" zoomScaleNormal="150" workbookViewId="0">
      <selection activeCell="B2" sqref="B2"/>
    </sheetView>
  </sheetViews>
  <sheetFormatPr defaultRowHeight="15" x14ac:dyDescent="0.25"/>
  <cols>
    <col min="1" max="1" width="36.140625" bestFit="1" customWidth="1"/>
    <col min="2" max="3" width="25.7109375" customWidth="1"/>
  </cols>
  <sheetData>
    <row r="1" spans="1:3" ht="45" x14ac:dyDescent="0.25">
      <c r="A1" s="23" t="s">
        <v>104</v>
      </c>
      <c r="B1" s="64" t="s">
        <v>13</v>
      </c>
      <c r="C1" s="64" t="s">
        <v>14</v>
      </c>
    </row>
    <row r="2" spans="1:3" x14ac:dyDescent="0.25">
      <c r="A2" s="65" t="s">
        <v>136</v>
      </c>
      <c r="B2" s="68"/>
      <c r="C2" s="68"/>
    </row>
    <row r="3" spans="1:3" x14ac:dyDescent="0.25">
      <c r="A3" s="65" t="s">
        <v>137</v>
      </c>
      <c r="B3" s="68"/>
      <c r="C3" s="68"/>
    </row>
    <row r="4" spans="1:3" x14ac:dyDescent="0.25">
      <c r="A4" s="65" t="s">
        <v>138</v>
      </c>
      <c r="B4" s="68"/>
      <c r="C4" s="68"/>
    </row>
    <row r="5" spans="1:3" x14ac:dyDescent="0.25">
      <c r="A5" s="65" t="s">
        <v>139</v>
      </c>
      <c r="B5" s="68"/>
      <c r="C5" s="68"/>
    </row>
    <row r="6" spans="1:3" x14ac:dyDescent="0.25">
      <c r="A6" s="65" t="s">
        <v>140</v>
      </c>
      <c r="B6" s="68"/>
      <c r="C6" s="68"/>
    </row>
    <row r="7" spans="1:3" x14ac:dyDescent="0.25">
      <c r="A7" s="65" t="s">
        <v>141</v>
      </c>
      <c r="B7" s="68"/>
      <c r="C7" s="68"/>
    </row>
    <row r="8" spans="1:3" x14ac:dyDescent="0.25">
      <c r="A8" s="65" t="s">
        <v>142</v>
      </c>
      <c r="B8" s="68"/>
      <c r="C8" s="68"/>
    </row>
    <row r="9" spans="1:3" x14ac:dyDescent="0.25">
      <c r="A9" s="65" t="s">
        <v>143</v>
      </c>
      <c r="B9" s="68"/>
      <c r="C9" s="68"/>
    </row>
    <row r="10" spans="1:3" x14ac:dyDescent="0.25">
      <c r="A10" s="65" t="s">
        <v>144</v>
      </c>
      <c r="B10" s="68"/>
      <c r="C10" s="68"/>
    </row>
  </sheetData>
  <sheetProtection algorithmName="SHA-512" hashValue="WKlBDbP279zaDUeco9E/N2ntS89NjiSfFp7+JFf2nESVRjBFISSbhEfj8zcZ1e0Gvj/Spo0EWPC7tafnBxJsiw==" saltValue="wzyBiDe1q53gSiHY5oAMEw==" spinCount="100000" sheet="1" objects="1" scenarios="1"/>
  <pageMargins left="0.7" right="0.7" top="0.75" bottom="0.75" header="0.3" footer="0.3"/>
  <pageSetup orientation="portrait" verticalDpi="300" r:id="rId1"/>
  <headerFooter>
    <oddHeader>&amp;C&amp;A</oddHeader>
    <oddFooter>&amp;L&amp;G&amp;R&amp;F</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4E85A10F-5C32-4D03-9E30-C8D498F94AC8}">
          <x14:formula1>
            <xm:f>Inputs!$D$1:$D$5</xm:f>
          </x14:formula1>
          <xm:sqref>C2:C10</xm:sqref>
        </x14:dataValidation>
        <x14:dataValidation type="list" allowBlank="1" showInputMessage="1" showErrorMessage="1" xr:uid="{44AC5E52-0E9C-4532-9E81-AC0FAFFF25DB}">
          <x14:formula1>
            <xm:f>Inputs!$A$1:$A$5</xm:f>
          </x14:formula1>
          <xm:sqref>B2:B10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FF680-6F37-406B-8D74-1A1956A60A48}">
  <sheetPr>
    <tabColor rgb="FF00476D"/>
  </sheetPr>
  <dimension ref="A1:C9"/>
  <sheetViews>
    <sheetView showGridLines="0" showRowColHeaders="0" zoomScale="150" zoomScaleNormal="150" workbookViewId="0">
      <selection activeCell="B2" sqref="B2"/>
    </sheetView>
  </sheetViews>
  <sheetFormatPr defaultRowHeight="15" x14ac:dyDescent="0.25"/>
  <cols>
    <col min="1" max="1" width="36.140625" bestFit="1" customWidth="1"/>
    <col min="2" max="3" width="25.7109375" customWidth="1"/>
  </cols>
  <sheetData>
    <row r="1" spans="1:3" ht="45" x14ac:dyDescent="0.25">
      <c r="A1" s="72" t="s">
        <v>103</v>
      </c>
      <c r="B1" s="64" t="s">
        <v>13</v>
      </c>
      <c r="C1" s="64" t="s">
        <v>14</v>
      </c>
    </row>
    <row r="2" spans="1:3" x14ac:dyDescent="0.25">
      <c r="A2" s="65" t="s">
        <v>145</v>
      </c>
      <c r="B2" s="68"/>
      <c r="C2" s="68"/>
    </row>
    <row r="3" spans="1:3" x14ac:dyDescent="0.25">
      <c r="A3" s="65" t="s">
        <v>146</v>
      </c>
      <c r="B3" s="68"/>
      <c r="C3" s="68"/>
    </row>
    <row r="4" spans="1:3" x14ac:dyDescent="0.25">
      <c r="A4" s="65" t="s">
        <v>147</v>
      </c>
      <c r="B4" s="68"/>
      <c r="C4" s="68"/>
    </row>
    <row r="5" spans="1:3" x14ac:dyDescent="0.25">
      <c r="A5" s="65" t="s">
        <v>148</v>
      </c>
      <c r="B5" s="68"/>
      <c r="C5" s="68"/>
    </row>
    <row r="6" spans="1:3" x14ac:dyDescent="0.25">
      <c r="A6" s="65" t="s">
        <v>149</v>
      </c>
      <c r="B6" s="68"/>
      <c r="C6" s="68"/>
    </row>
    <row r="7" spans="1:3" x14ac:dyDescent="0.25">
      <c r="A7" s="65" t="s">
        <v>150</v>
      </c>
      <c r="B7" s="68"/>
      <c r="C7" s="68"/>
    </row>
    <row r="8" spans="1:3" x14ac:dyDescent="0.25">
      <c r="A8" s="65" t="s">
        <v>151</v>
      </c>
      <c r="B8" s="68"/>
      <c r="C8" s="68"/>
    </row>
    <row r="9" spans="1:3" x14ac:dyDescent="0.25">
      <c r="A9" s="65" t="s">
        <v>152</v>
      </c>
      <c r="B9" s="68"/>
      <c r="C9" s="68"/>
    </row>
  </sheetData>
  <sheetProtection algorithmName="SHA-512" hashValue="PgaKVCWKBFom8qq061zvq6SdR/kIyhWMhwdHlcpZXxLAOFXjvHkWqMDViBgNfraD6clww0aKCOjFYCtiXQNY7g==" saltValue="d1/r3A/MJ3WPdWGWIIaHyw==" spinCount="100000" sheet="1" objects="1" scenarios="1"/>
  <pageMargins left="0.7" right="0.7" top="0.75" bottom="0.75" header="0.3" footer="0.3"/>
  <pageSetup orientation="portrait" verticalDpi="300" r:id="rId1"/>
  <headerFooter>
    <oddHeader>&amp;C&amp;A</oddHeader>
    <oddFooter>&amp;L&amp;G&amp;R&amp;F</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3D32C9A2-3DF5-4E0A-8BB6-EC73674EB8B7}">
          <x14:formula1>
            <xm:f>Inputs!$A$1:$A$5</xm:f>
          </x14:formula1>
          <xm:sqref>B2:B9</xm:sqref>
        </x14:dataValidation>
        <x14:dataValidation type="list" allowBlank="1" showInputMessage="1" showErrorMessage="1" xr:uid="{89468D3F-1EC0-4769-A8F4-A18AA6A57AB5}">
          <x14:formula1>
            <xm:f>Inputs!$D$1:$D$5</xm:f>
          </x14:formula1>
          <xm:sqref>C2:C9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8CA29-8671-4DEA-ABFF-DB37693D5F65}">
  <sheetPr>
    <tabColor rgb="FF00476D"/>
  </sheetPr>
  <dimension ref="A1:C7"/>
  <sheetViews>
    <sheetView showGridLines="0" showRowColHeaders="0" zoomScale="150" zoomScaleNormal="150" workbookViewId="0">
      <selection activeCell="B2" sqref="B2"/>
    </sheetView>
  </sheetViews>
  <sheetFormatPr defaultRowHeight="15" x14ac:dyDescent="0.25"/>
  <cols>
    <col min="1" max="1" width="36.140625" bestFit="1" customWidth="1"/>
    <col min="2" max="3" width="25.7109375" customWidth="1"/>
  </cols>
  <sheetData>
    <row r="1" spans="1:3" ht="45" x14ac:dyDescent="0.25">
      <c r="A1" s="72" t="s">
        <v>107</v>
      </c>
      <c r="B1" s="64" t="s">
        <v>13</v>
      </c>
      <c r="C1" s="64" t="s">
        <v>14</v>
      </c>
    </row>
    <row r="2" spans="1:3" x14ac:dyDescent="0.25">
      <c r="A2" s="66" t="s">
        <v>153</v>
      </c>
      <c r="B2" s="68"/>
      <c r="C2" s="68"/>
    </row>
    <row r="3" spans="1:3" x14ac:dyDescent="0.25">
      <c r="A3" s="66" t="s">
        <v>154</v>
      </c>
      <c r="B3" s="68"/>
      <c r="C3" s="68"/>
    </row>
    <row r="4" spans="1:3" x14ac:dyDescent="0.25">
      <c r="A4" s="66" t="s">
        <v>155</v>
      </c>
      <c r="B4" s="68"/>
      <c r="C4" s="68"/>
    </row>
    <row r="5" spans="1:3" x14ac:dyDescent="0.25">
      <c r="A5" s="66" t="s">
        <v>156</v>
      </c>
      <c r="B5" s="68"/>
      <c r="C5" s="68"/>
    </row>
    <row r="6" spans="1:3" x14ac:dyDescent="0.25">
      <c r="A6" s="66" t="s">
        <v>157</v>
      </c>
      <c r="B6" s="68"/>
      <c r="C6" s="68"/>
    </row>
    <row r="7" spans="1:3" x14ac:dyDescent="0.25">
      <c r="A7" s="66" t="s">
        <v>158</v>
      </c>
      <c r="B7" s="68"/>
      <c r="C7" s="68"/>
    </row>
  </sheetData>
  <sheetProtection algorithmName="SHA-512" hashValue="sbMprLjw2Fln0d1P9VSbM35qHhidKCbrVEUDm51xVy5Xnq8qXCubyJN76R88uvq+TN1a+YQhOHkxOLJPwF1A3g==" saltValue="ynGFL5IKSn/hiBUOnyEUlw==" spinCount="100000" sheet="1" objects="1" scenarios="1"/>
  <pageMargins left="0.7" right="0.7" top="0.75" bottom="0.75" header="0.3" footer="0.3"/>
  <pageSetup orientation="portrait" verticalDpi="300" r:id="rId1"/>
  <headerFooter>
    <oddHeader>&amp;C&amp;A</oddHeader>
    <oddFooter>&amp;L&amp;G&amp;R&amp;F</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9A43E498-6485-4CA2-9C2C-E460B818C01B}">
          <x14:formula1>
            <xm:f>Inputs!$D$1:$D$5</xm:f>
          </x14:formula1>
          <xm:sqref>C2:C7</xm:sqref>
        </x14:dataValidation>
        <x14:dataValidation type="list" allowBlank="1" showInputMessage="1" showErrorMessage="1" xr:uid="{99B859DA-FB99-46F8-B62E-738AD046FECF}">
          <x14:formula1>
            <xm:f>Inputs!$A$1:$A$5</xm:f>
          </x14:formula1>
          <xm:sqref>B2:B7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54426-1F28-456E-A2C6-5AD025FEFD3D}">
  <sheetPr>
    <tabColor rgb="FF00476D"/>
  </sheetPr>
  <dimension ref="A1:C8"/>
  <sheetViews>
    <sheetView showGridLines="0" showRowColHeaders="0" zoomScale="150" zoomScaleNormal="150" workbookViewId="0">
      <selection activeCell="B2" sqref="B2"/>
    </sheetView>
  </sheetViews>
  <sheetFormatPr defaultRowHeight="15" x14ac:dyDescent="0.25"/>
  <cols>
    <col min="1" max="1" width="36.140625" bestFit="1" customWidth="1"/>
    <col min="2" max="3" width="25.7109375" customWidth="1"/>
  </cols>
  <sheetData>
    <row r="1" spans="1:3" ht="45" x14ac:dyDescent="0.25">
      <c r="A1" s="72" t="s">
        <v>108</v>
      </c>
      <c r="B1" s="64" t="s">
        <v>13</v>
      </c>
      <c r="C1" s="64" t="s">
        <v>14</v>
      </c>
    </row>
    <row r="2" spans="1:3" x14ac:dyDescent="0.25">
      <c r="A2" s="66" t="s">
        <v>159</v>
      </c>
      <c r="B2" s="68"/>
      <c r="C2" s="68"/>
    </row>
    <row r="3" spans="1:3" x14ac:dyDescent="0.25">
      <c r="A3" s="66" t="s">
        <v>160</v>
      </c>
      <c r="B3" s="68"/>
      <c r="C3" s="68"/>
    </row>
    <row r="4" spans="1:3" x14ac:dyDescent="0.25">
      <c r="A4" s="66" t="s">
        <v>161</v>
      </c>
      <c r="B4" s="68"/>
      <c r="C4" s="68"/>
    </row>
    <row r="5" spans="1:3" x14ac:dyDescent="0.25">
      <c r="A5" s="66" t="s">
        <v>162</v>
      </c>
      <c r="B5" s="68"/>
      <c r="C5" s="68"/>
    </row>
    <row r="6" spans="1:3" x14ac:dyDescent="0.25">
      <c r="A6" s="66" t="s">
        <v>163</v>
      </c>
      <c r="B6" s="68"/>
      <c r="C6" s="68"/>
    </row>
    <row r="7" spans="1:3" x14ac:dyDescent="0.25">
      <c r="A7" s="66" t="s">
        <v>164</v>
      </c>
      <c r="B7" s="68"/>
      <c r="C7" s="68"/>
    </row>
    <row r="8" spans="1:3" x14ac:dyDescent="0.25">
      <c r="A8" s="66" t="s">
        <v>165</v>
      </c>
      <c r="B8" s="68"/>
      <c r="C8" s="68"/>
    </row>
  </sheetData>
  <sheetProtection algorithmName="SHA-512" hashValue="3cvHdrFUE9urN1iFoa0QoXovJ8RHLEAvr7LAUztOI3V/Uug0bQ1de9Isb8nKnMYBp4eYK1cfyMzFy1lblgKf+g==" saltValue="BQ7/jLuqZJI9Cm3ZhkdnQA==" spinCount="100000" sheet="1" objects="1" scenarios="1"/>
  <pageMargins left="0.7" right="0.7" top="0.75" bottom="0.75" header="0.3" footer="0.3"/>
  <pageSetup orientation="portrait" verticalDpi="300" r:id="rId1"/>
  <headerFooter>
    <oddHeader>&amp;C&amp;A</oddHeader>
    <oddFooter>&amp;L&amp;G&amp;R&amp;F</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6721A4EA-AB6F-4FDC-A81E-8C270C06741D}">
          <x14:formula1>
            <xm:f>Inputs!$A$1:$A$5</xm:f>
          </x14:formula1>
          <xm:sqref>B2:B8</xm:sqref>
        </x14:dataValidation>
        <x14:dataValidation type="list" allowBlank="1" showInputMessage="1" showErrorMessage="1" xr:uid="{CE1E8EDA-D0DD-49C3-9345-E1AB11F16481}">
          <x14:formula1>
            <xm:f>Inputs!$D$1:$D$5</xm:f>
          </x14:formula1>
          <xm:sqref>C2:C8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2D58-3FE9-408F-B498-75D450C7C5A7}">
  <sheetPr>
    <tabColor rgb="FF00476D"/>
  </sheetPr>
  <dimension ref="A1:C9"/>
  <sheetViews>
    <sheetView showGridLines="0" showRowColHeaders="0" zoomScale="150" zoomScaleNormal="150" workbookViewId="0">
      <selection activeCell="B2" sqref="B2"/>
    </sheetView>
  </sheetViews>
  <sheetFormatPr defaultRowHeight="15" x14ac:dyDescent="0.25"/>
  <cols>
    <col min="1" max="1" width="36.140625" bestFit="1" customWidth="1"/>
    <col min="2" max="3" width="25.7109375" customWidth="1"/>
  </cols>
  <sheetData>
    <row r="1" spans="1:3" ht="45" x14ac:dyDescent="0.25">
      <c r="A1" s="72" t="s">
        <v>109</v>
      </c>
      <c r="B1" s="64" t="s">
        <v>13</v>
      </c>
      <c r="C1" s="64" t="s">
        <v>14</v>
      </c>
    </row>
    <row r="2" spans="1:3" x14ac:dyDescent="0.25">
      <c r="A2" s="65" t="s">
        <v>166</v>
      </c>
      <c r="B2" s="68"/>
      <c r="C2" s="68"/>
    </row>
    <row r="3" spans="1:3" x14ac:dyDescent="0.25">
      <c r="A3" s="65" t="s">
        <v>167</v>
      </c>
      <c r="B3" s="68"/>
      <c r="C3" s="68"/>
    </row>
    <row r="4" spans="1:3" x14ac:dyDescent="0.25">
      <c r="A4" s="65" t="s">
        <v>168</v>
      </c>
      <c r="B4" s="68"/>
      <c r="C4" s="68"/>
    </row>
    <row r="5" spans="1:3" x14ac:dyDescent="0.25">
      <c r="A5" s="65" t="s">
        <v>169</v>
      </c>
      <c r="B5" s="68"/>
      <c r="C5" s="68"/>
    </row>
    <row r="6" spans="1:3" x14ac:dyDescent="0.25">
      <c r="A6" s="65" t="s">
        <v>170</v>
      </c>
      <c r="B6" s="68"/>
      <c r="C6" s="68"/>
    </row>
    <row r="7" spans="1:3" x14ac:dyDescent="0.25">
      <c r="A7" s="65" t="s">
        <v>171</v>
      </c>
      <c r="B7" s="68"/>
      <c r="C7" s="68"/>
    </row>
    <row r="8" spans="1:3" x14ac:dyDescent="0.25">
      <c r="A8" s="65" t="s">
        <v>172</v>
      </c>
      <c r="B8" s="68"/>
      <c r="C8" s="68"/>
    </row>
    <row r="9" spans="1:3" x14ac:dyDescent="0.25">
      <c r="A9" s="65" t="s">
        <v>173</v>
      </c>
      <c r="B9" s="68"/>
      <c r="C9" s="68"/>
    </row>
  </sheetData>
  <sheetProtection algorithmName="SHA-512" hashValue="SZWvlrmrS4ZHAB6LlWvAQuZMIckfvrMm4meZ9d764IG9YpCuLE3zq6YpjIQFXIP9Fm/4KLk8mrXl7RZ1FOzkXg==" saltValue="xYUFT7/kdITHBBZeinpncA==" spinCount="100000" sheet="1" objects="1" scenarios="1"/>
  <pageMargins left="0.7" right="0.7" top="0.75" bottom="0.75" header="0.3" footer="0.3"/>
  <pageSetup orientation="portrait" verticalDpi="300" r:id="rId1"/>
  <headerFooter>
    <oddHeader>&amp;C&amp;A</oddHeader>
    <oddFooter>&amp;L&amp;G&amp;R&amp;F</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6A272CA3-17C5-46B5-B2F5-ECEC1AC37461}">
          <x14:formula1>
            <xm:f>Inputs!$D$1:$D$5</xm:f>
          </x14:formula1>
          <xm:sqref>C2:C9</xm:sqref>
        </x14:dataValidation>
        <x14:dataValidation type="list" allowBlank="1" showInputMessage="1" showErrorMessage="1" xr:uid="{C00E4627-A46A-4ED6-9867-19466E8D45C4}">
          <x14:formula1>
            <xm:f>Inputs!$A$1:$A$5</xm:f>
          </x14:formula1>
          <xm:sqref>B2:B9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0585E-0737-4654-AF3B-2DDB5605CD28}">
  <sheetPr>
    <tabColor rgb="FF00476D"/>
  </sheetPr>
  <dimension ref="A1:E18"/>
  <sheetViews>
    <sheetView zoomScale="120" zoomScaleNormal="120" workbookViewId="0">
      <selection activeCell="B2" sqref="B2"/>
    </sheetView>
  </sheetViews>
  <sheetFormatPr defaultRowHeight="15" x14ac:dyDescent="0.25"/>
  <cols>
    <col min="1" max="1" width="36.140625" bestFit="1" customWidth="1"/>
    <col min="2" max="3" width="25.7109375" customWidth="1"/>
    <col min="4" max="5" width="9.140625" hidden="1" customWidth="1"/>
  </cols>
  <sheetData>
    <row r="1" spans="1:5" ht="45" x14ac:dyDescent="0.25">
      <c r="A1" s="72" t="s">
        <v>118</v>
      </c>
      <c r="B1" s="64" t="s">
        <v>13</v>
      </c>
      <c r="C1" s="64" t="s">
        <v>14</v>
      </c>
    </row>
    <row r="2" spans="1:5" x14ac:dyDescent="0.25">
      <c r="A2" s="78" t="s">
        <v>34</v>
      </c>
      <c r="B2" s="68"/>
      <c r="C2" s="68"/>
    </row>
    <row r="3" spans="1:5" x14ac:dyDescent="0.25">
      <c r="A3" s="77" t="s">
        <v>35</v>
      </c>
      <c r="B3" s="70"/>
      <c r="C3" s="71"/>
      <c r="D3" t="e">
        <f>AVERAGE(D4:D18)</f>
        <v>#N/A</v>
      </c>
      <c r="E3" t="e">
        <f>AVERAGE(E4:E18)</f>
        <v>#N/A</v>
      </c>
    </row>
    <row r="4" spans="1:5" x14ac:dyDescent="0.25">
      <c r="A4" s="69" t="s">
        <v>174</v>
      </c>
      <c r="B4" s="68"/>
      <c r="C4" s="68"/>
      <c r="D4" t="e">
        <f>VLOOKUP(B4,Inputs!A:B,2,FALSE)</f>
        <v>#N/A</v>
      </c>
      <c r="E4" t="e">
        <f>VLOOKUP(C4,Inputs!D:E,2,FALSE)</f>
        <v>#N/A</v>
      </c>
    </row>
    <row r="5" spans="1:5" x14ac:dyDescent="0.25">
      <c r="A5" s="69" t="s">
        <v>95</v>
      </c>
      <c r="B5" s="68"/>
      <c r="C5" s="68"/>
      <c r="D5" t="e">
        <f>VLOOKUP(B5,Inputs!A:B,2,FALSE)</f>
        <v>#N/A</v>
      </c>
      <c r="E5" t="e">
        <f>VLOOKUP(C5,Inputs!D:E,2,FALSE)</f>
        <v>#N/A</v>
      </c>
    </row>
    <row r="6" spans="1:5" x14ac:dyDescent="0.25">
      <c r="A6" s="69" t="s">
        <v>96</v>
      </c>
      <c r="B6" s="68"/>
      <c r="C6" s="68"/>
      <c r="D6" t="e">
        <f>VLOOKUP(B6,Inputs!A:B,2,FALSE)</f>
        <v>#N/A</v>
      </c>
      <c r="E6" t="e">
        <f>VLOOKUP(C6,Inputs!D:E,2,FALSE)</f>
        <v>#N/A</v>
      </c>
    </row>
    <row r="7" spans="1:5" x14ac:dyDescent="0.25">
      <c r="A7" s="69" t="s">
        <v>97</v>
      </c>
      <c r="B7" s="68"/>
      <c r="C7" s="68"/>
      <c r="D7" t="e">
        <f>VLOOKUP(B7,Inputs!A:B,2,FALSE)</f>
        <v>#N/A</v>
      </c>
      <c r="E7" t="e">
        <f>VLOOKUP(C7,Inputs!D:E,2,FALSE)</f>
        <v>#N/A</v>
      </c>
    </row>
    <row r="8" spans="1:5" x14ac:dyDescent="0.25">
      <c r="A8" s="69" t="s">
        <v>175</v>
      </c>
      <c r="B8" s="68"/>
      <c r="C8" s="68"/>
      <c r="D8" t="e">
        <f>VLOOKUP(B8,Inputs!A:B,2,FALSE)</f>
        <v>#N/A</v>
      </c>
      <c r="E8" t="e">
        <f>VLOOKUP(C8,Inputs!D:E,2,FALSE)</f>
        <v>#N/A</v>
      </c>
    </row>
    <row r="9" spans="1:5" x14ac:dyDescent="0.25">
      <c r="A9" s="69" t="s">
        <v>176</v>
      </c>
      <c r="B9" s="68"/>
      <c r="C9" s="68"/>
      <c r="D9" t="e">
        <f>VLOOKUP(B9,Inputs!A:B,2,FALSE)</f>
        <v>#N/A</v>
      </c>
      <c r="E9" t="e">
        <f>VLOOKUP(C9,Inputs!D:E,2,FALSE)</f>
        <v>#N/A</v>
      </c>
    </row>
    <row r="10" spans="1:5" x14ac:dyDescent="0.25">
      <c r="A10" s="69" t="s">
        <v>98</v>
      </c>
      <c r="B10" s="68"/>
      <c r="C10" s="68"/>
      <c r="D10" t="e">
        <f>VLOOKUP(B10,Inputs!A:B,2,FALSE)</f>
        <v>#N/A</v>
      </c>
      <c r="E10" t="e">
        <f>VLOOKUP(C10,Inputs!D:E,2,FALSE)</f>
        <v>#N/A</v>
      </c>
    </row>
    <row r="11" spans="1:5" x14ac:dyDescent="0.25">
      <c r="A11" s="69" t="s">
        <v>99</v>
      </c>
      <c r="B11" s="68"/>
      <c r="C11" s="68"/>
      <c r="D11" t="e">
        <f>VLOOKUP(B11,Inputs!A:B,2,FALSE)</f>
        <v>#N/A</v>
      </c>
      <c r="E11" t="e">
        <f>VLOOKUP(C11,Inputs!D:E,2,FALSE)</f>
        <v>#N/A</v>
      </c>
    </row>
    <row r="12" spans="1:5" x14ac:dyDescent="0.25">
      <c r="A12" s="69" t="s">
        <v>177</v>
      </c>
      <c r="B12" s="68"/>
      <c r="C12" s="68"/>
      <c r="D12" t="e">
        <f>VLOOKUP(B12,Inputs!A:B,2,FALSE)</f>
        <v>#N/A</v>
      </c>
      <c r="E12" t="e">
        <f>VLOOKUP(C12,Inputs!D:E,2,FALSE)</f>
        <v>#N/A</v>
      </c>
    </row>
    <row r="13" spans="1:5" x14ac:dyDescent="0.25">
      <c r="A13" s="65" t="s">
        <v>100</v>
      </c>
      <c r="B13" s="68"/>
      <c r="C13" s="68"/>
      <c r="D13" t="e">
        <f>VLOOKUP(B13,Inputs!A:B,2,FALSE)</f>
        <v>#N/A</v>
      </c>
      <c r="E13" t="e">
        <f>VLOOKUP(C13,Inputs!D:E,2,FALSE)</f>
        <v>#N/A</v>
      </c>
    </row>
    <row r="14" spans="1:5" x14ac:dyDescent="0.25">
      <c r="A14" s="65" t="s">
        <v>101</v>
      </c>
      <c r="B14" s="68"/>
      <c r="C14" s="68"/>
      <c r="D14" t="e">
        <f>VLOOKUP(B14,Inputs!A:B,2,FALSE)</f>
        <v>#N/A</v>
      </c>
      <c r="E14" t="e">
        <f>VLOOKUP(C14,Inputs!D:E,2,FALSE)</f>
        <v>#N/A</v>
      </c>
    </row>
    <row r="15" spans="1:5" x14ac:dyDescent="0.25">
      <c r="A15" s="65" t="s">
        <v>178</v>
      </c>
      <c r="B15" s="68"/>
      <c r="C15" s="68"/>
      <c r="D15" t="e">
        <f>VLOOKUP(B15,Inputs!A:B,2,FALSE)</f>
        <v>#N/A</v>
      </c>
      <c r="E15" t="e">
        <f>VLOOKUP(C15,Inputs!D:E,2,FALSE)</f>
        <v>#N/A</v>
      </c>
    </row>
    <row r="16" spans="1:5" x14ac:dyDescent="0.25">
      <c r="A16" s="65" t="s">
        <v>179</v>
      </c>
      <c r="B16" s="68"/>
      <c r="C16" s="68"/>
      <c r="D16" t="e">
        <f>VLOOKUP(B16,Inputs!A:B,2,FALSE)</f>
        <v>#N/A</v>
      </c>
      <c r="E16" t="e">
        <f>VLOOKUP(C16,Inputs!D:E,2,FALSE)</f>
        <v>#N/A</v>
      </c>
    </row>
    <row r="17" spans="1:5" x14ac:dyDescent="0.25">
      <c r="A17" s="65" t="s">
        <v>102</v>
      </c>
      <c r="B17" s="68"/>
      <c r="C17" s="68"/>
      <c r="D17" t="e">
        <f>VLOOKUP(B17,Inputs!A:B,2,FALSE)</f>
        <v>#N/A</v>
      </c>
      <c r="E17" t="e">
        <f>VLOOKUP(C17,Inputs!D:E,2,FALSE)</f>
        <v>#N/A</v>
      </c>
    </row>
    <row r="18" spans="1:5" x14ac:dyDescent="0.25">
      <c r="A18" s="65" t="s">
        <v>180</v>
      </c>
      <c r="B18" s="68"/>
      <c r="C18" s="68"/>
      <c r="D18" t="e">
        <f>VLOOKUP(B18,Inputs!A:B,2,FALSE)</f>
        <v>#N/A</v>
      </c>
      <c r="E18" t="e">
        <f>VLOOKUP(C18,Inputs!D:E,2,FALSE)</f>
        <v>#N/A</v>
      </c>
    </row>
  </sheetData>
  <sheetProtection algorithmName="SHA-512" hashValue="7IQKys5QYwxxEd9jwXPbUQ3QxcYh27WK8/HC264o2KZNf7MecTCOkJg399Twvau5phagozuy3Cywl+E8Pv+4Jw==" saltValue="8cVnEukF5q+X5L4NXl7Dyg==" spinCount="100000" sheet="1" objects="1" scenarios="1"/>
  <pageMargins left="0.7" right="0.7" top="0.75" bottom="0.75" header="0.3" footer="0.3"/>
  <pageSetup orientation="portrait" verticalDpi="300" r:id="rId1"/>
  <headerFooter>
    <oddHeader>&amp;C&amp;A</oddHeader>
    <oddFooter>&amp;L&amp;G&amp;R&amp;F</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BD886DA4-26C4-4670-A38F-88AF16FC2CAE}">
          <x14:formula1>
            <xm:f>Inputs!$A$1:$A$5</xm:f>
          </x14:formula1>
          <xm:sqref>B2 B4:B18</xm:sqref>
        </x14:dataValidation>
        <x14:dataValidation type="list" allowBlank="1" showInputMessage="1" showErrorMessage="1" xr:uid="{1E124D26-9156-4702-BB86-7685B5B77670}">
          <x14:formula1>
            <xm:f>Inputs!$D$1:$D$5</xm:f>
          </x14:formula1>
          <xm:sqref>C2 C4:C18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I. Finance Theory</vt:lpstr>
      <vt:lpstr>II. Financial Instruments</vt:lpstr>
      <vt:lpstr>III. Financial Markets</vt:lpstr>
      <vt:lpstr>IV. Mathematical Foundations</vt:lpstr>
      <vt:lpstr>V. Risk Mgmt Frameworks-Op Risk</vt:lpstr>
      <vt:lpstr>VI. Credit and Counterparty</vt:lpstr>
      <vt:lpstr>VII. Market, Asset Liab Mgmt, F</vt:lpstr>
      <vt:lpstr>VIII. PRMIA Case Studies</vt:lpstr>
      <vt:lpstr>IX. PRMIA Standards</vt:lpstr>
      <vt:lpstr>My Self Assessment Report</vt:lpstr>
      <vt:lpstr>My Study Plan</vt:lpstr>
      <vt:lpstr>My Path to the PRM Designation</vt:lpstr>
      <vt:lpstr>Inputs</vt:lpstr>
      <vt:lpstr>'I. Finance Theory'!Print_Area</vt:lpstr>
      <vt:lpstr>'II. Financial Instruments'!Print_Area</vt:lpstr>
      <vt:lpstr>'III. Financial Markets'!Print_Area</vt:lpstr>
      <vt:lpstr>Instructions!Print_Area</vt:lpstr>
      <vt:lpstr>'IV. Mathematical Foundations'!Print_Area</vt:lpstr>
      <vt:lpstr>'IX. PRMIA Standards'!Print_Area</vt:lpstr>
      <vt:lpstr>'My Path to the PRM Designation'!Print_Area</vt:lpstr>
      <vt:lpstr>'My Self Assessment Report'!Print_Area</vt:lpstr>
      <vt:lpstr>'My Study Plan'!Print_Area</vt:lpstr>
      <vt:lpstr>'V. Risk Mgmt Frameworks-Op Risk'!Print_Area</vt:lpstr>
      <vt:lpstr>'VI. Credit and Counterparty'!Print_Area</vt:lpstr>
      <vt:lpstr>'VII. Market, Asset Liab Mgmt, F'!Print_Area</vt:lpstr>
      <vt:lpstr>'VIII. PRMIA Case Studies'!Print_Area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Justin McCarthy</cp:lastModifiedBy>
  <cp:lastPrinted>2019-03-15T19:16:16Z</cp:lastPrinted>
  <dcterms:created xsi:type="dcterms:W3CDTF">2019-02-11T19:38:15Z</dcterms:created>
  <dcterms:modified xsi:type="dcterms:W3CDTF">2024-08-28T16:03:22Z</dcterms:modified>
</cp:coreProperties>
</file>